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fibramty.sharepoint.com/sites/Tesorera/Documentos compartidos/Tesoreria/04 Capital/04 Reportes FMTY/Reportes Trimestrales/Informe 2T25/Tablas y vaciados/"/>
    </mc:Choice>
  </mc:AlternateContent>
  <xr:revisionPtr revIDLastSave="306" documentId="8_{584D723B-B3A2-4948-8347-90BD7F31EB4A}" xr6:coauthVersionLast="47" xr6:coauthVersionMax="47" xr10:uidLastSave="{7C95F500-C7B9-4E68-B9B6-052392992DF8}"/>
  <bookViews>
    <workbookView xWindow="-120" yWindow="-120" windowWidth="29040" windowHeight="15720" activeTab="1" xr2:uid="{934D5979-0465-4718-9E2D-C69A524AFFBD}"/>
  </bookViews>
  <sheets>
    <sheet name="Trimestral" sheetId="3" r:id="rId1"/>
    <sheet name="Anual" sheetId="1"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9" i="3" l="1"/>
  <c r="W37" i="3"/>
  <c r="W24" i="3"/>
  <c r="W23" i="3"/>
  <c r="W18" i="3"/>
  <c r="W14" i="3"/>
  <c r="W11" i="3"/>
  <c r="W6" i="3"/>
  <c r="V37" i="3"/>
  <c r="V30" i="3"/>
  <c r="V31" i="3"/>
  <c r="V23" i="3"/>
  <c r="V24" i="3"/>
  <c r="V19" i="3"/>
  <c r="V18" i="3"/>
  <c r="V14" i="3"/>
  <c r="V11" i="3"/>
  <c r="V6" i="3"/>
  <c r="U19" i="3"/>
  <c r="D26" i="1"/>
  <c r="C26" i="1"/>
  <c r="J46" i="1"/>
  <c r="K46" i="1"/>
  <c r="G36" i="1"/>
  <c r="F36" i="1"/>
  <c r="E36" i="1"/>
  <c r="D36" i="1"/>
  <c r="C36" i="1"/>
  <c r="I32" i="1"/>
  <c r="I33" i="1"/>
  <c r="I34" i="1"/>
  <c r="I35" i="1"/>
  <c r="I36" i="1" s="1"/>
  <c r="I37" i="1"/>
  <c r="H32" i="1"/>
  <c r="H33" i="1"/>
  <c r="H34" i="1"/>
  <c r="H35" i="1"/>
  <c r="H36" i="1" s="1"/>
  <c r="H37" i="1"/>
  <c r="H29" i="1"/>
  <c r="J28" i="1"/>
  <c r="I28" i="1"/>
  <c r="H28" i="1"/>
  <c r="L26" i="1"/>
  <c r="K26" i="1"/>
  <c r="J26" i="1"/>
  <c r="I26" i="1"/>
  <c r="I21" i="1"/>
  <c r="I16" i="1"/>
  <c r="H21" i="1"/>
  <c r="H16" i="1"/>
  <c r="H13" i="1"/>
  <c r="H10" i="1"/>
  <c r="H9" i="1"/>
  <c r="H22" i="1"/>
  <c r="H17" i="1"/>
  <c r="G28" i="3"/>
  <c r="F28" i="3"/>
  <c r="E28" i="3"/>
  <c r="B22" i="3"/>
  <c r="D22" i="3"/>
  <c r="D26" i="3" s="1"/>
  <c r="C22" i="3"/>
  <c r="C26" i="3" s="1"/>
  <c r="F22" i="3"/>
  <c r="E22" i="3"/>
  <c r="B17" i="3"/>
  <c r="C17" i="3"/>
  <c r="D17" i="3"/>
  <c r="E17" i="3"/>
  <c r="F17" i="3"/>
  <c r="G17" i="3"/>
  <c r="E26" i="3"/>
  <c r="F26" i="3"/>
  <c r="G26" i="3"/>
  <c r="H26" i="3"/>
  <c r="I26" i="3"/>
  <c r="J26" i="3"/>
  <c r="K26" i="3"/>
  <c r="L26" i="3"/>
  <c r="M26" i="3"/>
  <c r="N26" i="3"/>
  <c r="O26" i="3"/>
  <c r="P26" i="3"/>
  <c r="Q26" i="3"/>
  <c r="R26" i="3"/>
  <c r="B26" i="3"/>
  <c r="L44" i="1" l="1"/>
  <c r="L37" i="1"/>
  <c r="L35" i="1"/>
  <c r="L34" i="1"/>
  <c r="L33" i="1"/>
  <c r="L32" i="1"/>
  <c r="L29" i="1"/>
  <c r="L30" i="1" s="1"/>
  <c r="L21" i="1"/>
  <c r="L17" i="1"/>
  <c r="L19" i="1" s="1"/>
  <c r="L16" i="1"/>
  <c r="L13" i="1"/>
  <c r="L10" i="1"/>
  <c r="L9" i="1"/>
  <c r="L6" i="1"/>
  <c r="L11" i="1" l="1"/>
  <c r="L18" i="1"/>
  <c r="L23" i="1"/>
  <c r="L36" i="1"/>
  <c r="L14" i="1"/>
  <c r="U31" i="3" l="1"/>
  <c r="U37" i="3"/>
  <c r="U23" i="3"/>
  <c r="U24" i="3"/>
  <c r="U18" i="3"/>
  <c r="U14" i="3"/>
  <c r="U11" i="3"/>
  <c r="U6" i="3"/>
  <c r="I44" i="1"/>
  <c r="J44" i="1"/>
  <c r="K44" i="1"/>
  <c r="U30" i="3" l="1"/>
  <c r="K29" i="1"/>
  <c r="K21" i="1"/>
  <c r="K16" i="1"/>
  <c r="K13" i="1"/>
  <c r="K10" i="1"/>
  <c r="K9" i="1"/>
  <c r="T30" i="3"/>
  <c r="T22" i="3"/>
  <c r="L22" i="1" s="1"/>
  <c r="L24" i="1" s="1"/>
  <c r="B30" i="3"/>
  <c r="C30" i="3"/>
  <c r="D30" i="3"/>
  <c r="E30" i="3"/>
  <c r="F30" i="3"/>
  <c r="G30" i="3"/>
  <c r="H30" i="3"/>
  <c r="I30" i="3"/>
  <c r="J30" i="3"/>
  <c r="K30" i="3"/>
  <c r="L30" i="3"/>
  <c r="M30" i="3"/>
  <c r="N30" i="3"/>
  <c r="O30" i="3"/>
  <c r="P30" i="3"/>
  <c r="Q30" i="3"/>
  <c r="R30" i="3"/>
  <c r="S30" i="3"/>
  <c r="T19" i="3" l="1"/>
  <c r="T37" i="3" l="1"/>
  <c r="T31" i="3"/>
  <c r="T24" i="3"/>
  <c r="T23" i="3"/>
  <c r="T18" i="3"/>
  <c r="T14" i="3"/>
  <c r="T11" i="3"/>
  <c r="T6" i="3"/>
  <c r="K37" i="1"/>
  <c r="K35" i="1"/>
  <c r="K34" i="1"/>
  <c r="K33" i="1"/>
  <c r="K32" i="1"/>
  <c r="Q37" i="3"/>
  <c r="Q28" i="3"/>
  <c r="Q23" i="3"/>
  <c r="Q22" i="3"/>
  <c r="Q18" i="3"/>
  <c r="Q17" i="3"/>
  <c r="Q19" i="3" s="1"/>
  <c r="Q14" i="3"/>
  <c r="Q11" i="3"/>
  <c r="Q6" i="3"/>
  <c r="K36" i="1" l="1"/>
  <c r="Q31" i="3"/>
  <c r="Q24" i="3"/>
  <c r="S31" i="3" l="1"/>
  <c r="S24" i="3" l="1"/>
  <c r="S19" i="3"/>
  <c r="S18" i="3"/>
  <c r="S23" i="3"/>
  <c r="S14" i="3"/>
  <c r="S11" i="3"/>
  <c r="R24" i="3"/>
  <c r="R19" i="3"/>
  <c r="S6" i="3" l="1"/>
  <c r="S37" i="3"/>
  <c r="R37" i="3"/>
  <c r="B6" i="3"/>
  <c r="C6" i="3"/>
  <c r="D6" i="3"/>
  <c r="E6" i="3"/>
  <c r="F6" i="3"/>
  <c r="G6" i="3"/>
  <c r="I6" i="3"/>
  <c r="J6" i="3"/>
  <c r="K6" i="3"/>
  <c r="L6" i="3"/>
  <c r="M6" i="3"/>
  <c r="N6" i="3"/>
  <c r="O6" i="3"/>
  <c r="P6" i="3"/>
  <c r="R6" i="3"/>
  <c r="R28" i="3"/>
  <c r="L28" i="1" s="1"/>
  <c r="R11" i="3"/>
  <c r="R14" i="3"/>
  <c r="R18" i="3"/>
  <c r="R23" i="3"/>
  <c r="R31" i="3" l="1"/>
  <c r="K23" i="1"/>
  <c r="K18" i="1"/>
  <c r="K14" i="1"/>
  <c r="K11" i="1"/>
  <c r="K6" i="1"/>
  <c r="P17" i="3"/>
  <c r="P37" i="3"/>
  <c r="P28" i="3"/>
  <c r="P23" i="3"/>
  <c r="P22" i="3"/>
  <c r="P24" i="3" s="1"/>
  <c r="P18" i="3"/>
  <c r="P19" i="3"/>
  <c r="P14" i="3"/>
  <c r="P11" i="3"/>
  <c r="O28" i="3"/>
  <c r="O22" i="3"/>
  <c r="O17" i="3"/>
  <c r="K17" i="1" l="1"/>
  <c r="K19" i="1" s="1"/>
  <c r="K22" i="1"/>
  <c r="K24" i="1" s="1"/>
  <c r="K28" i="1"/>
  <c r="O37" i="3"/>
  <c r="O31" i="3"/>
  <c r="O24" i="3"/>
  <c r="O23" i="3"/>
  <c r="N23" i="3"/>
  <c r="O19" i="3"/>
  <c r="O18" i="3"/>
  <c r="O14" i="3"/>
  <c r="O11" i="3"/>
  <c r="N37" i="3"/>
  <c r="N18" i="3"/>
  <c r="N19" i="3"/>
  <c r="N14" i="3"/>
  <c r="N11" i="3"/>
  <c r="K30" i="1" l="1"/>
  <c r="P31" i="3"/>
  <c r="N31" i="3"/>
  <c r="N24" i="3"/>
  <c r="E26" i="1" l="1"/>
  <c r="F26" i="1" l="1"/>
  <c r="G26" i="1" l="1"/>
  <c r="J37" i="1" l="1"/>
  <c r="J32" i="1"/>
  <c r="J33" i="1"/>
  <c r="J34" i="1"/>
  <c r="J35" i="1"/>
  <c r="J21" i="1"/>
  <c r="J16" i="1"/>
  <c r="J13" i="1"/>
  <c r="J9" i="1"/>
  <c r="J10" i="1"/>
  <c r="J36" i="1" l="1"/>
  <c r="J11" i="1"/>
  <c r="J14" i="1"/>
  <c r="J18" i="1"/>
  <c r="J23" i="1"/>
  <c r="M37" i="3"/>
  <c r="M28" i="3"/>
  <c r="M17" i="3"/>
  <c r="M19" i="3" s="1"/>
  <c r="M23" i="3"/>
  <c r="M22" i="3"/>
  <c r="M24" i="3" s="1"/>
  <c r="M18" i="3"/>
  <c r="M14" i="3"/>
  <c r="M11" i="3"/>
  <c r="J6" i="1"/>
  <c r="L28" i="3"/>
  <c r="L22" i="3"/>
  <c r="L37" i="3" l="1"/>
  <c r="L31" i="3"/>
  <c r="L24" i="3"/>
  <c r="L23" i="3"/>
  <c r="L19" i="3"/>
  <c r="L18" i="3"/>
  <c r="L14" i="3"/>
  <c r="L11" i="3"/>
  <c r="K37" i="3"/>
  <c r="K28" i="3"/>
  <c r="K17" i="3"/>
  <c r="K19" i="3" s="1"/>
  <c r="K22" i="3"/>
  <c r="K24" i="3" s="1"/>
  <c r="K23" i="3"/>
  <c r="K18" i="3"/>
  <c r="K14" i="3"/>
  <c r="K11" i="3"/>
  <c r="I22" i="3"/>
  <c r="I17" i="3"/>
  <c r="I19" i="3" s="1"/>
  <c r="J37" i="3"/>
  <c r="J28" i="3"/>
  <c r="J23" i="3"/>
  <c r="J22" i="3"/>
  <c r="J17" i="3"/>
  <c r="J18" i="3"/>
  <c r="J14" i="3"/>
  <c r="J11" i="3"/>
  <c r="I28" i="3"/>
  <c r="I6" i="1"/>
  <c r="I37" i="3"/>
  <c r="I23" i="3"/>
  <c r="I18" i="3"/>
  <c r="I14" i="3"/>
  <c r="I11" i="3"/>
  <c r="J19" i="3" l="1"/>
  <c r="J17" i="1"/>
  <c r="J19" i="1" s="1"/>
  <c r="J22" i="1"/>
  <c r="J24" i="1" s="1"/>
  <c r="M31" i="3"/>
  <c r="J24" i="3"/>
  <c r="I24" i="3"/>
  <c r="I31" i="3"/>
  <c r="H28" i="3"/>
  <c r="H17" i="3"/>
  <c r="I13" i="1"/>
  <c r="I14" i="1" s="1"/>
  <c r="I10" i="1"/>
  <c r="I11" i="1" s="1"/>
  <c r="I9" i="1"/>
  <c r="I23" i="1" s="1"/>
  <c r="I18" i="1" l="1"/>
  <c r="J31" i="3"/>
  <c r="J29" i="1"/>
  <c r="J30" i="1" s="1"/>
  <c r="K31" i="3"/>
  <c r="H22" i="3"/>
  <c r="H37" i="3"/>
  <c r="H23" i="3"/>
  <c r="H18" i="3"/>
  <c r="H19" i="3"/>
  <c r="H14" i="3"/>
  <c r="H11" i="3"/>
  <c r="H6" i="3"/>
  <c r="H31" i="3" l="1"/>
  <c r="H24" i="3"/>
  <c r="G22" i="3"/>
  <c r="I22" i="1" s="1"/>
  <c r="I24" i="1" s="1"/>
  <c r="I17" i="1"/>
  <c r="I19" i="1" s="1"/>
  <c r="G37" i="3" l="1"/>
  <c r="G31" i="3"/>
  <c r="G24" i="3"/>
  <c r="G23" i="3"/>
  <c r="G19" i="3"/>
  <c r="G18" i="3"/>
  <c r="G14" i="3"/>
  <c r="G11" i="3"/>
  <c r="I29" i="1"/>
  <c r="I30" i="1" s="1"/>
  <c r="F37" i="3" l="1"/>
  <c r="F31" i="3"/>
  <c r="F24" i="3"/>
  <c r="F23" i="3"/>
  <c r="F19" i="3"/>
  <c r="F18" i="3"/>
  <c r="F14" i="3"/>
  <c r="F11" i="3"/>
  <c r="G29" i="1" l="1"/>
  <c r="F29" i="1"/>
  <c r="E29" i="1"/>
  <c r="D30" i="1"/>
  <c r="C29" i="1"/>
  <c r="E36" i="3"/>
  <c r="B37" i="3" l="1"/>
  <c r="D28" i="3"/>
  <c r="C28" i="3"/>
  <c r="B28" i="3"/>
  <c r="H18" i="1"/>
  <c r="H11" i="1"/>
  <c r="C23" i="1"/>
  <c r="D23" i="1"/>
  <c r="E23" i="1"/>
  <c r="F23" i="1"/>
  <c r="G23" i="1"/>
  <c r="C18" i="1"/>
  <c r="D18" i="1"/>
  <c r="E18" i="1"/>
  <c r="F18" i="1"/>
  <c r="G18" i="1"/>
  <c r="C11" i="1"/>
  <c r="D11" i="1"/>
  <c r="E11" i="1"/>
  <c r="F11" i="1"/>
  <c r="G11" i="1"/>
  <c r="H23" i="1" l="1"/>
  <c r="E33" i="3"/>
  <c r="D31" i="3" l="1"/>
  <c r="B31" i="3"/>
  <c r="B23" i="3"/>
  <c r="E23" i="3"/>
  <c r="E18" i="3"/>
  <c r="E11" i="3"/>
  <c r="D18" i="3" l="1"/>
  <c r="D23" i="3"/>
  <c r="D11" i="3"/>
  <c r="C31" i="3"/>
  <c r="C23" i="3"/>
  <c r="C18" i="3"/>
  <c r="C11" i="3"/>
  <c r="B11" i="3"/>
  <c r="B18" i="3"/>
  <c r="E37" i="3" l="1"/>
  <c r="D37" i="3"/>
  <c r="C37" i="3"/>
  <c r="D24" i="3"/>
  <c r="C24" i="3"/>
  <c r="B24" i="3"/>
  <c r="E19" i="3"/>
  <c r="D19" i="3"/>
  <c r="C19" i="3"/>
  <c r="B19" i="3"/>
  <c r="E14" i="3"/>
  <c r="D14" i="3"/>
  <c r="C14" i="3"/>
  <c r="B14" i="3"/>
  <c r="G35" i="1"/>
  <c r="F14" i="1"/>
  <c r="F35" i="1"/>
  <c r="E35" i="1"/>
  <c r="H6" i="1"/>
  <c r="G6" i="1"/>
  <c r="F6" i="1"/>
  <c r="E6" i="1"/>
  <c r="D35" i="1"/>
  <c r="E30" i="1"/>
  <c r="F30" i="1"/>
  <c r="G30" i="1"/>
  <c r="H30" i="1"/>
  <c r="D14" i="1"/>
  <c r="E24" i="1"/>
  <c r="F24" i="1"/>
  <c r="G24" i="1"/>
  <c r="H24" i="1"/>
  <c r="D19" i="1"/>
  <c r="E19" i="1"/>
  <c r="F19" i="1"/>
  <c r="G19" i="1"/>
  <c r="H19" i="1"/>
  <c r="E14" i="1"/>
  <c r="G14" i="1"/>
  <c r="H14" i="1"/>
  <c r="C35" i="1"/>
  <c r="C30" i="1"/>
  <c r="D24" i="1"/>
  <c r="C24" i="1"/>
  <c r="C19" i="1"/>
  <c r="C14" i="1"/>
  <c r="D6" i="1"/>
  <c r="C6" i="1"/>
  <c r="E24" i="3" l="1"/>
  <c r="C4" i="1"/>
  <c r="E31" i="3" l="1"/>
  <c r="D3" i="1"/>
  <c r="E3" i="1" l="1"/>
  <c r="D4" i="1"/>
  <c r="F3" i="1" l="1"/>
  <c r="E4" i="1"/>
  <c r="G3" i="1" l="1"/>
  <c r="F4" i="1"/>
  <c r="G4" i="1" l="1"/>
  <c r="H3" i="1"/>
  <c r="H4" i="1" l="1"/>
  <c r="I3" i="1"/>
  <c r="I4" i="1" s="1"/>
</calcChain>
</file>

<file path=xl/sharedStrings.xml><?xml version="1.0" encoding="utf-8"?>
<sst xmlns="http://schemas.openxmlformats.org/spreadsheetml/2006/main" count="92" uniqueCount="63">
  <si>
    <t>31-03-2021</t>
  </si>
  <si>
    <t>31-Dec-22</t>
  </si>
  <si>
    <t>1T20</t>
  </si>
  <si>
    <t>2T20</t>
  </si>
  <si>
    <t>3T20</t>
  </si>
  <si>
    <t>4T20</t>
  </si>
  <si>
    <t>1T21</t>
  </si>
  <si>
    <t>2T21</t>
  </si>
  <si>
    <t>3T21</t>
  </si>
  <si>
    <t>4T21</t>
  </si>
  <si>
    <t>1T22</t>
  </si>
  <si>
    <t>2T22</t>
  </si>
  <si>
    <t>3T22</t>
  </si>
  <si>
    <t>4T22</t>
  </si>
  <si>
    <t>1T23</t>
  </si>
  <si>
    <t>2T23</t>
  </si>
  <si>
    <t>3T23</t>
  </si>
  <si>
    <t>4T23</t>
  </si>
  <si>
    <t>1T24</t>
  </si>
  <si>
    <t>2T24</t>
  </si>
  <si>
    <t>3T24</t>
  </si>
  <si>
    <t>4T24</t>
  </si>
  <si>
    <t>1T25</t>
  </si>
  <si>
    <t>2T25</t>
  </si>
  <si>
    <t>GLA M2</t>
  </si>
  <si>
    <t>GLA sf</t>
  </si>
  <si>
    <t>Occupancy (as of GLA)</t>
  </si>
  <si>
    <t>Revenue</t>
  </si>
  <si>
    <t>NOI</t>
  </si>
  <si>
    <t>NOI margin</t>
  </si>
  <si>
    <t>EBITDA</t>
  </si>
  <si>
    <t>EBITDA margin</t>
  </si>
  <si>
    <t>FFO</t>
  </si>
  <si>
    <t>FFO per share</t>
  </si>
  <si>
    <t>FFO margin</t>
  </si>
  <si>
    <t>FFO yield</t>
  </si>
  <si>
    <t>AFFO</t>
  </si>
  <si>
    <t>AFFO per share</t>
  </si>
  <si>
    <t>AFFO margin</t>
  </si>
  <si>
    <t>AFFO yield</t>
  </si>
  <si>
    <t>Distributions announced on the Press release</t>
  </si>
  <si>
    <t>Distributions paid</t>
  </si>
  <si>
    <t>Distributions per share MXN</t>
  </si>
  <si>
    <t>Distributions per share USD</t>
  </si>
  <si>
    <t>Dividend yield</t>
  </si>
  <si>
    <t>Cash</t>
  </si>
  <si>
    <t>Investment property</t>
  </si>
  <si>
    <t>Total assets</t>
  </si>
  <si>
    <t>Total debt</t>
  </si>
  <si>
    <t>Net debt</t>
  </si>
  <si>
    <t>Total equity</t>
  </si>
  <si>
    <t>Shares</t>
  </si>
  <si>
    <t>Opening Share price</t>
  </si>
  <si>
    <t>Closing FX</t>
  </si>
  <si>
    <t>Average FX</t>
  </si>
  <si>
    <t xml:space="preserve">AFFO per share 1Q24:Calculated based on 1,814,330.843 CBFIs outstanding for early distributions in January and February 2024, and 2,493,497.510 CBFIs outstanding as of March 31st, 2024, for the distribution scheduled for payment in June 2024. </t>
  </si>
  <si>
    <t>Distribution per share: The cash distribution per CBFI is derived by subtracting the cash surplus from the estimated AFFO for the year and dividing the remainder by the number of CBFIs outstanding as of the date of this earnings release. The surplus represents the differential between the estimated 2024 AFFO and the corresponding upper range of 2024 guidance.</t>
  </si>
  <si>
    <t>The cash distribution per CBFI is derived by subtracting the cash surplus from the estimated AFFO for the year and dividing the remainder by the number of CBFIs outstanding as of the date of this earnings release. The surplus represents the difference between 2024 AFFO and the upper range of the 2024 guidance, which was allocated for CBFI buybacks, per the Technical Committee’s approval on October 15th, 2024.</t>
  </si>
  <si>
    <t xml:space="preserve">AFFO per share 3Q22: Calculated considering the Ps. 58.7 million proceeds of the recent follow-on to stabilize the AFFO per share, as explained in the “Highlights” section of the press release. </t>
  </si>
  <si>
    <t xml:space="preserve">AFFO per share 1Q23: Calculated considering 1,255,047.994 CBFIs outstanding for January and February 2023 and 1,553,679.660 CBFIs outstanding for March 2023. </t>
  </si>
  <si>
    <t>31-Dec-23</t>
  </si>
  <si>
    <t>31-Dec-24</t>
  </si>
  <si>
    <t>Occupancy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</si>
</sst>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_-&quot;$&quot;* #,##0.00_-;\-&quot;$&quot;* #,##0.00_-;_-&quot;$&quot;* &quot;-&quot;??_-;_-@_-"/>
    <numFmt numFmtId="166" formatCode="0.0%"/>
    <numFmt numFmtId="167" formatCode="[$-409]d\-mmm\-yy;@"/>
    <numFmt numFmtId="168" formatCode="_-* #,##0_-;\-* #,##0_-;_-* &quot;-&quot;??_-;_-@_-"/>
    <numFmt numFmtId="169" formatCode="_-* #,##0.000_-;\-* #,##0.000_-;_-* &quot;-&quot;??_-;_-@_-"/>
    <numFmt numFmtId="170" formatCode="_-&quot;$&quot;* #,##0.0000_-;\-&quot;$&quot;* #,##0.0000_-;_-&quot;$&quot;* &quot;-&quot;??_-;_-@_-"/>
    <numFmt numFmtId="171" formatCode="_-* #,##0.0000_-;\-* #,##0.0000_-;_-* &quot;-&quot;??_-;_-@_-"/>
    <numFmt numFmtId="172" formatCode="0.000"/>
    <numFmt numFmtId="173" formatCode="#,##0.0000"/>
    <numFmt numFmtId="174" formatCode="0.0000"/>
    <numFmt numFmtId="175" formatCode="_-&quot;$&quot;* #,##0.000_-;\-&quot;$&quot;* #,##0.000_-;_-&quot;$&quot;* &quot;-&quot;??_-;_-@_-"/>
  </numFmts>
  <fonts count="9">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sz val="11"/>
      <color rgb="FF0070C0"/>
      <name val="Calibri"/>
      <family val="2"/>
      <scheme val="minor"/>
    </font>
    <font>
      <sz val="8"/>
      <name val="Calibri"/>
      <family val="2"/>
      <scheme val="minor"/>
    </font>
    <font>
      <sz val="8"/>
      <color theme="1"/>
      <name val="Calibri"/>
      <family val="2"/>
      <scheme val="minor"/>
    </font>
    <font>
      <sz val="11"/>
      <color rgb="FF0D2748"/>
      <name val="Calibri"/>
      <family val="2"/>
    </font>
  </fonts>
  <fills count="5">
    <fill>
      <patternFill patternType="none"/>
    </fill>
    <fill>
      <patternFill patternType="gray125"/>
    </fill>
    <fill>
      <patternFill patternType="solid">
        <fgColor rgb="FF003867"/>
        <bgColor indexed="64"/>
      </patternFill>
    </fill>
    <fill>
      <patternFill patternType="solid">
        <fgColor rgb="FFFFFFFF"/>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52">
    <xf numFmtId="0" fontId="0" fillId="0" borderId="0" xfId="0"/>
    <xf numFmtId="167" fontId="3" fillId="0" borderId="0" xfId="0" applyNumberFormat="1" applyFont="1" applyAlignment="1">
      <alignment horizontal="center"/>
    </xf>
    <xf numFmtId="0" fontId="4" fillId="2" borderId="0" xfId="0" applyFont="1" applyFill="1" applyAlignment="1">
      <alignment horizontal="center"/>
    </xf>
    <xf numFmtId="0" fontId="0" fillId="0" borderId="2" xfId="0" applyBorder="1"/>
    <xf numFmtId="166" fontId="2" fillId="0" borderId="2" xfId="2" applyNumberFormat="1" applyFont="1" applyBorder="1" applyAlignment="1"/>
    <xf numFmtId="166" fontId="2" fillId="0" borderId="2" xfId="2" applyNumberFormat="1" applyFont="1" applyFill="1" applyBorder="1" applyAlignment="1"/>
    <xf numFmtId="0" fontId="4" fillId="2" borderId="2" xfId="0" applyFont="1" applyFill="1" applyBorder="1" applyAlignment="1">
      <alignment horizontal="center"/>
    </xf>
    <xf numFmtId="168" fontId="0" fillId="0" borderId="0" xfId="1" applyNumberFormat="1" applyFont="1"/>
    <xf numFmtId="166" fontId="2" fillId="0" borderId="3" xfId="2" applyNumberFormat="1" applyFont="1" applyBorder="1" applyAlignment="1"/>
    <xf numFmtId="166" fontId="0" fillId="0" borderId="1" xfId="1" applyNumberFormat="1" applyFont="1" applyBorder="1"/>
    <xf numFmtId="166" fontId="2" fillId="0" borderId="3" xfId="2" applyNumberFormat="1" applyFont="1" applyFill="1" applyBorder="1" applyAlignment="1"/>
    <xf numFmtId="168" fontId="0" fillId="0" borderId="1" xfId="1" applyNumberFormat="1" applyFont="1" applyBorder="1"/>
    <xf numFmtId="168" fontId="5" fillId="0" borderId="0" xfId="1" applyNumberFormat="1" applyFont="1"/>
    <xf numFmtId="3" fontId="0" fillId="0" borderId="0" xfId="0" applyNumberFormat="1"/>
    <xf numFmtId="168" fontId="0" fillId="0" borderId="0" xfId="1" applyNumberFormat="1" applyFont="1" applyFill="1"/>
    <xf numFmtId="166" fontId="5" fillId="0" borderId="0" xfId="1" applyNumberFormat="1" applyFont="1" applyFill="1" applyBorder="1"/>
    <xf numFmtId="166" fontId="0" fillId="0" borderId="1" xfId="1" applyNumberFormat="1" applyFont="1" applyFill="1" applyBorder="1"/>
    <xf numFmtId="166" fontId="0" fillId="0" borderId="0" xfId="1" applyNumberFormat="1" applyFont="1" applyFill="1"/>
    <xf numFmtId="166" fontId="5" fillId="0" borderId="1" xfId="1" applyNumberFormat="1" applyFont="1" applyFill="1" applyBorder="1"/>
    <xf numFmtId="168" fontId="0" fillId="0" borderId="0" xfId="1" applyNumberFormat="1" applyFont="1" applyFill="1" applyBorder="1"/>
    <xf numFmtId="169" fontId="1" fillId="0" borderId="0" xfId="1" applyNumberFormat="1" applyFont="1" applyFill="1"/>
    <xf numFmtId="171" fontId="0" fillId="0" borderId="0" xfId="1" applyNumberFormat="1" applyFont="1"/>
    <xf numFmtId="166" fontId="5" fillId="0" borderId="0" xfId="2" applyNumberFormat="1" applyFont="1" applyFill="1" applyBorder="1"/>
    <xf numFmtId="169" fontId="0" fillId="0" borderId="0" xfId="1" applyNumberFormat="1" applyFont="1" applyFill="1"/>
    <xf numFmtId="171" fontId="0" fillId="0" borderId="0" xfId="0" applyNumberFormat="1"/>
    <xf numFmtId="168" fontId="0" fillId="0" borderId="0" xfId="1" applyNumberFormat="1" applyFont="1" applyFill="1" applyAlignment="1">
      <alignment wrapText="1"/>
    </xf>
    <xf numFmtId="168" fontId="5" fillId="0" borderId="0" xfId="1" applyNumberFormat="1" applyFont="1" applyFill="1"/>
    <xf numFmtId="10" fontId="0" fillId="0" borderId="1" xfId="0" applyNumberFormat="1" applyBorder="1"/>
    <xf numFmtId="166" fontId="5" fillId="0" borderId="0" xfId="1" applyNumberFormat="1" applyFont="1" applyFill="1"/>
    <xf numFmtId="166" fontId="0" fillId="0" borderId="0" xfId="2" applyNumberFormat="1" applyFont="1" applyFill="1"/>
    <xf numFmtId="168" fontId="0" fillId="0" borderId="0" xfId="0" applyNumberFormat="1"/>
    <xf numFmtId="164" fontId="0" fillId="0" borderId="0" xfId="0" applyNumberFormat="1"/>
    <xf numFmtId="170" fontId="5" fillId="0" borderId="0" xfId="3" applyNumberFormat="1" applyFont="1" applyFill="1" applyBorder="1"/>
    <xf numFmtId="168" fontId="0" fillId="0" borderId="1" xfId="1" applyNumberFormat="1" applyFont="1" applyFill="1" applyBorder="1"/>
    <xf numFmtId="0" fontId="7" fillId="0" borderId="0" xfId="0" applyFont="1" applyAlignment="1">
      <alignment horizontal="left" vertical="center" wrapText="1"/>
    </xf>
    <xf numFmtId="172" fontId="1" fillId="0" borderId="0" xfId="1" applyNumberFormat="1" applyFont="1" applyFill="1"/>
    <xf numFmtId="173" fontId="0" fillId="0" borderId="0" xfId="0" applyNumberFormat="1"/>
    <xf numFmtId="171" fontId="0" fillId="0" borderId="0" xfId="1" applyNumberFormat="1" applyFont="1" applyFill="1"/>
    <xf numFmtId="0" fontId="7" fillId="0" borderId="0" xfId="0" applyFont="1" applyAlignment="1">
      <alignment vertical="center" wrapText="1"/>
    </xf>
    <xf numFmtId="0" fontId="7" fillId="0" borderId="0" xfId="0" applyFont="1" applyAlignment="1">
      <alignment horizontal="left" vertical="top" wrapText="1"/>
    </xf>
    <xf numFmtId="0" fontId="8" fillId="3" borderId="0" xfId="0" applyFont="1" applyFill="1" applyAlignment="1">
      <alignment horizontal="center" vertical="center" wrapText="1" readingOrder="1"/>
    </xf>
    <xf numFmtId="174" fontId="8" fillId="3" borderId="0" xfId="0" applyNumberFormat="1" applyFont="1" applyFill="1" applyAlignment="1">
      <alignment horizontal="center" vertical="center" wrapText="1" readingOrder="1"/>
    </xf>
    <xf numFmtId="174" fontId="0" fillId="4" borderId="0" xfId="0" applyNumberFormat="1" applyFill="1"/>
    <xf numFmtId="174" fontId="0" fillId="0" borderId="0" xfId="0" applyNumberFormat="1"/>
    <xf numFmtId="169" fontId="0" fillId="0" borderId="0" xfId="1" applyNumberFormat="1" applyFont="1"/>
    <xf numFmtId="168" fontId="1" fillId="0" borderId="0" xfId="1" applyNumberFormat="1" applyFont="1" applyFill="1"/>
    <xf numFmtId="175" fontId="1" fillId="0" borderId="0" xfId="1" applyNumberFormat="1" applyFont="1" applyFill="1"/>
    <xf numFmtId="175" fontId="0" fillId="0" borderId="0" xfId="1" applyNumberFormat="1" applyFont="1" applyFill="1"/>
    <xf numFmtId="175" fontId="0" fillId="0" borderId="0" xfId="3" applyNumberFormat="1" applyFont="1" applyFill="1" applyBorder="1"/>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center" vertical="top" wrapText="1"/>
    </xf>
  </cellXfs>
  <cellStyles count="6">
    <cellStyle name="Comma" xfId="1" builtinId="3"/>
    <cellStyle name="Currency" xfId="3" builtinId="4"/>
    <cellStyle name="Millares 2" xfId="4" xr:uid="{0C639F6A-A4B8-4B0A-8F29-DE8052CD44E6}"/>
    <cellStyle name="Moneda 2" xfId="5" xr:uid="{1E3FCD2E-9D35-4E15-BB78-07F2633600A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0E490-F085-4B66-9A46-653809023A14}">
  <sheetPr codeName="Hoja2">
    <tabColor theme="9"/>
  </sheetPr>
  <dimension ref="A3:Y63"/>
  <sheetViews>
    <sheetView showGridLines="0" zoomScale="68" zoomScaleNormal="85" workbookViewId="0">
      <pane xSplit="1" topLeftCell="N1" activePane="topRight" state="frozen"/>
      <selection pane="topRight" activeCell="X1" sqref="X1:X1048576"/>
    </sheetView>
  </sheetViews>
  <sheetFormatPr defaultColWidth="11.7109375" defaultRowHeight="15"/>
  <cols>
    <col min="1" max="1" width="44.28515625" style="3" bestFit="1" customWidth="1"/>
    <col min="2" max="7" width="18.5703125" bestFit="1" customWidth="1"/>
    <col min="8" max="8" width="18" bestFit="1" customWidth="1"/>
    <col min="9" max="9" width="19" bestFit="1" customWidth="1"/>
    <col min="10" max="10" width="19" customWidth="1"/>
    <col min="11" max="11" width="19" bestFit="1" customWidth="1"/>
    <col min="12" max="17" width="19" customWidth="1"/>
    <col min="18" max="18" width="21" customWidth="1"/>
    <col min="19" max="19" width="23.5703125" customWidth="1"/>
    <col min="20" max="20" width="20.7109375" customWidth="1"/>
    <col min="21" max="21" width="21" customWidth="1"/>
    <col min="22" max="22" width="22" bestFit="1" customWidth="1"/>
    <col min="23" max="23" width="27.85546875" customWidth="1"/>
    <col min="25" max="25" width="15.85546875" bestFit="1" customWidth="1"/>
  </cols>
  <sheetData>
    <row r="3" spans="1:23" ht="15.75">
      <c r="B3" s="1">
        <v>43921</v>
      </c>
      <c r="C3" s="1">
        <v>44012</v>
      </c>
      <c r="D3" s="1">
        <v>44104</v>
      </c>
      <c r="E3" s="1">
        <v>44196</v>
      </c>
      <c r="F3" s="1" t="s">
        <v>0</v>
      </c>
      <c r="G3" s="1">
        <v>44377</v>
      </c>
      <c r="H3" s="1">
        <v>44469</v>
      </c>
      <c r="I3" s="1">
        <v>44561</v>
      </c>
      <c r="J3" s="1">
        <v>44651</v>
      </c>
      <c r="K3" s="1">
        <v>44742</v>
      </c>
      <c r="L3" s="1">
        <v>44834</v>
      </c>
      <c r="M3" s="1" t="s">
        <v>1</v>
      </c>
      <c r="N3" s="1">
        <v>45016</v>
      </c>
      <c r="O3" s="1">
        <v>45107</v>
      </c>
      <c r="P3" s="1">
        <v>45199</v>
      </c>
      <c r="Q3" s="1">
        <v>45291</v>
      </c>
      <c r="R3" s="1">
        <v>45382</v>
      </c>
      <c r="S3" s="1">
        <v>45473</v>
      </c>
      <c r="T3" s="1">
        <v>45565</v>
      </c>
      <c r="U3" s="1">
        <v>45657</v>
      </c>
      <c r="V3" s="1">
        <v>45747</v>
      </c>
      <c r="W3" s="1">
        <v>45838</v>
      </c>
    </row>
    <row r="4" spans="1:23" ht="18.75">
      <c r="A4" s="6"/>
      <c r="B4" s="2" t="s">
        <v>2</v>
      </c>
      <c r="C4" s="2" t="s">
        <v>3</v>
      </c>
      <c r="D4" s="2" t="s">
        <v>4</v>
      </c>
      <c r="E4" s="2" t="s">
        <v>5</v>
      </c>
      <c r="F4" s="2" t="s">
        <v>6</v>
      </c>
      <c r="G4" s="2" t="s">
        <v>7</v>
      </c>
      <c r="H4" s="2" t="s">
        <v>8</v>
      </c>
      <c r="I4" s="2" t="s">
        <v>9</v>
      </c>
      <c r="J4" s="2" t="s">
        <v>10</v>
      </c>
      <c r="K4" s="2" t="s">
        <v>11</v>
      </c>
      <c r="L4" s="2" t="s">
        <v>12</v>
      </c>
      <c r="M4" s="2" t="s">
        <v>13</v>
      </c>
      <c r="N4" s="2" t="s">
        <v>14</v>
      </c>
      <c r="O4" s="2" t="s">
        <v>15</v>
      </c>
      <c r="P4" s="2" t="s">
        <v>16</v>
      </c>
      <c r="Q4" s="2" t="s">
        <v>17</v>
      </c>
      <c r="R4" s="2" t="s">
        <v>18</v>
      </c>
      <c r="S4" s="2" t="s">
        <v>19</v>
      </c>
      <c r="T4" s="2" t="s">
        <v>20</v>
      </c>
      <c r="U4" s="2" t="s">
        <v>21</v>
      </c>
      <c r="V4" s="2" t="s">
        <v>22</v>
      </c>
      <c r="W4" s="2" t="s">
        <v>23</v>
      </c>
    </row>
    <row r="5" spans="1:23" ht="15.75">
      <c r="A5" s="4" t="s">
        <v>24</v>
      </c>
      <c r="B5" s="25">
        <v>708520</v>
      </c>
      <c r="C5" s="14">
        <v>708520</v>
      </c>
      <c r="D5" s="25">
        <v>708520</v>
      </c>
      <c r="E5" s="14">
        <v>713925</v>
      </c>
      <c r="F5" s="14">
        <v>713925</v>
      </c>
      <c r="G5" s="14">
        <v>749564</v>
      </c>
      <c r="H5" s="13">
        <v>758582.51999999979</v>
      </c>
      <c r="I5" s="14">
        <v>818864</v>
      </c>
      <c r="J5" s="14">
        <v>818864</v>
      </c>
      <c r="K5" s="14">
        <v>818864</v>
      </c>
      <c r="L5" s="14">
        <v>818864</v>
      </c>
      <c r="M5" s="14">
        <v>818864</v>
      </c>
      <c r="N5" s="14">
        <v>1599849</v>
      </c>
      <c r="O5" s="14">
        <v>1602612</v>
      </c>
      <c r="P5" s="14">
        <v>1645942</v>
      </c>
      <c r="Q5" s="14">
        <v>1652673</v>
      </c>
      <c r="R5" s="14">
        <v>1650923</v>
      </c>
      <c r="S5" s="14">
        <v>1744448</v>
      </c>
      <c r="T5" s="14">
        <v>1766417.8500000003</v>
      </c>
      <c r="U5" s="14">
        <v>1871530</v>
      </c>
      <c r="V5" s="14">
        <v>1889801</v>
      </c>
      <c r="W5" s="14">
        <v>1990266</v>
      </c>
    </row>
    <row r="6" spans="1:23" ht="15.75">
      <c r="A6" s="4" t="s">
        <v>25</v>
      </c>
      <c r="B6" s="26">
        <f t="shared" ref="B6:Q6" si="0">CONVERT(B5,"m^2","ft^2")</f>
        <v>7626445.8084471719</v>
      </c>
      <c r="C6" s="26">
        <f t="shared" si="0"/>
        <v>7626445.8084471719</v>
      </c>
      <c r="D6" s="26">
        <f t="shared" si="0"/>
        <v>7626445.8084471719</v>
      </c>
      <c r="E6" s="26">
        <f t="shared" si="0"/>
        <v>7684624.7442494892</v>
      </c>
      <c r="F6" s="26">
        <f t="shared" si="0"/>
        <v>7684624.7442494892</v>
      </c>
      <c r="G6" s="26">
        <f t="shared" si="0"/>
        <v>8068239.7475906061</v>
      </c>
      <c r="H6" s="26">
        <f t="shared" si="0"/>
        <v>8165314.2889619088</v>
      </c>
      <c r="I6" s="26">
        <f t="shared" si="0"/>
        <v>8814178.7394685894</v>
      </c>
      <c r="J6" s="26">
        <f t="shared" si="0"/>
        <v>8814178.7394685894</v>
      </c>
      <c r="K6" s="26">
        <f t="shared" si="0"/>
        <v>8814178.7394685894</v>
      </c>
      <c r="L6" s="26">
        <f t="shared" si="0"/>
        <v>8814178.7394685894</v>
      </c>
      <c r="M6" s="26">
        <f t="shared" si="0"/>
        <v>8814178.7394685894</v>
      </c>
      <c r="N6" s="26">
        <f t="shared" si="0"/>
        <v>17220631.316262633</v>
      </c>
      <c r="O6" s="26">
        <f t="shared" si="0"/>
        <v>17250372.000744</v>
      </c>
      <c r="P6" s="26">
        <f t="shared" si="0"/>
        <v>17716772.239100035</v>
      </c>
      <c r="Q6" s="26">
        <f t="shared" si="0"/>
        <v>17789224.120114908</v>
      </c>
      <c r="R6" s="26">
        <f t="shared" ref="R6:X6" si="1">CONVERT(R5,"m^2","ft^2")</f>
        <v>17770387.276885666</v>
      </c>
      <c r="S6" s="26">
        <f t="shared" si="1"/>
        <v>18777081.998608444</v>
      </c>
      <c r="T6" s="26">
        <f t="shared" si="1"/>
        <v>19013563.495876998</v>
      </c>
      <c r="U6" s="26">
        <f t="shared" si="1"/>
        <v>20144981.262184747</v>
      </c>
      <c r="V6" s="26">
        <f t="shared" si="1"/>
        <v>20341648.669408452</v>
      </c>
      <c r="W6" s="26">
        <f t="shared" si="1"/>
        <v>21423044.929423191</v>
      </c>
    </row>
    <row r="7" spans="1:23" ht="15.75">
      <c r="A7" s="8" t="s">
        <v>26</v>
      </c>
      <c r="B7" s="16">
        <v>0.96399999999999997</v>
      </c>
      <c r="C7" s="16">
        <v>0.96399999999999997</v>
      </c>
      <c r="D7" s="16">
        <v>0.96299999999999997</v>
      </c>
      <c r="E7" s="16">
        <v>0.94399999999999995</v>
      </c>
      <c r="F7" s="16">
        <v>0.92600000000000005</v>
      </c>
      <c r="G7" s="16">
        <v>0.90500000000000003</v>
      </c>
      <c r="H7" s="16">
        <v>0.90700000000000003</v>
      </c>
      <c r="I7" s="27">
        <v>0.92200000000000004</v>
      </c>
      <c r="J7" s="27">
        <v>0.91600000000000004</v>
      </c>
      <c r="K7" s="27">
        <v>0.91700000000000004</v>
      </c>
      <c r="L7" s="27">
        <v>0.91800000000000004</v>
      </c>
      <c r="M7" s="27">
        <v>0.90900000000000003</v>
      </c>
      <c r="N7" s="27">
        <v>0.94599999999999995</v>
      </c>
      <c r="O7" s="27">
        <v>0.95299999999999996</v>
      </c>
      <c r="P7" s="27">
        <v>0.95799999999999996</v>
      </c>
      <c r="Q7" s="27">
        <v>0.96299999999999997</v>
      </c>
      <c r="R7" s="27">
        <v>0.96199999999999997</v>
      </c>
      <c r="S7" s="27">
        <v>0.96099999999999997</v>
      </c>
      <c r="T7" s="27">
        <v>0.96</v>
      </c>
      <c r="U7" s="27">
        <v>0.96199999999999997</v>
      </c>
      <c r="V7" s="27">
        <v>0.95299999999999996</v>
      </c>
      <c r="W7" s="27">
        <v>0.95399999999999996</v>
      </c>
    </row>
    <row r="8" spans="1:23">
      <c r="B8" s="14"/>
      <c r="C8" s="14"/>
      <c r="D8" s="14"/>
      <c r="E8" s="14"/>
      <c r="F8" s="14"/>
      <c r="G8" s="14"/>
    </row>
    <row r="9" spans="1:23" ht="15.75">
      <c r="A9" s="4" t="s">
        <v>27</v>
      </c>
      <c r="B9" s="14">
        <v>314774000</v>
      </c>
      <c r="C9" s="14">
        <v>358874000</v>
      </c>
      <c r="D9" s="14">
        <v>343141000</v>
      </c>
      <c r="E9" s="14">
        <v>330173000</v>
      </c>
      <c r="F9" s="14">
        <v>330420000</v>
      </c>
      <c r="G9" s="14">
        <v>299732000</v>
      </c>
      <c r="H9" s="14">
        <v>330490000</v>
      </c>
      <c r="I9" s="14">
        <v>350980000</v>
      </c>
      <c r="J9" s="14">
        <v>375298000</v>
      </c>
      <c r="K9" s="14">
        <v>373826000</v>
      </c>
      <c r="L9" s="14">
        <v>375103000</v>
      </c>
      <c r="M9" s="14">
        <v>376966000</v>
      </c>
      <c r="N9" s="14">
        <v>372588000</v>
      </c>
      <c r="O9" s="14">
        <v>593423000</v>
      </c>
      <c r="P9" s="14">
        <v>578714000</v>
      </c>
      <c r="Q9" s="14">
        <v>607505000</v>
      </c>
      <c r="R9" s="14">
        <v>605007000</v>
      </c>
      <c r="S9" s="14">
        <v>626443000</v>
      </c>
      <c r="T9" s="14">
        <v>726288000</v>
      </c>
      <c r="U9" s="14">
        <v>775503000</v>
      </c>
      <c r="V9" s="14">
        <v>844078000</v>
      </c>
      <c r="W9" s="14">
        <v>845236000</v>
      </c>
    </row>
    <row r="10" spans="1:23" ht="15.75">
      <c r="A10" s="4" t="s">
        <v>28</v>
      </c>
      <c r="B10" s="14">
        <v>284383000</v>
      </c>
      <c r="C10" s="14">
        <v>329320000</v>
      </c>
      <c r="D10" s="14">
        <v>314065000</v>
      </c>
      <c r="E10" s="14">
        <v>300116000</v>
      </c>
      <c r="F10" s="14">
        <v>300827000</v>
      </c>
      <c r="G10" s="14">
        <v>271873000</v>
      </c>
      <c r="H10" s="14">
        <v>293137000</v>
      </c>
      <c r="I10" s="14">
        <v>314449000</v>
      </c>
      <c r="J10" s="14">
        <v>339819000</v>
      </c>
      <c r="K10" s="14">
        <v>332754000</v>
      </c>
      <c r="L10" s="14">
        <v>326242000</v>
      </c>
      <c r="M10" s="14">
        <v>326609000</v>
      </c>
      <c r="N10" s="14">
        <v>330563000</v>
      </c>
      <c r="O10" s="14">
        <v>541638000</v>
      </c>
      <c r="P10" s="14">
        <v>523374000</v>
      </c>
      <c r="Q10" s="14">
        <v>551877000</v>
      </c>
      <c r="R10" s="14">
        <v>551428000</v>
      </c>
      <c r="S10" s="14">
        <v>561630000</v>
      </c>
      <c r="T10" s="14">
        <v>656228000</v>
      </c>
      <c r="U10" s="14">
        <v>707204000</v>
      </c>
      <c r="V10" s="14">
        <v>779319000</v>
      </c>
      <c r="W10" s="14">
        <v>767012000</v>
      </c>
    </row>
    <row r="11" spans="1:23" ht="15.75">
      <c r="A11" s="5" t="s">
        <v>29</v>
      </c>
      <c r="B11" s="28">
        <f>+B10/B9</f>
        <v>0.90345136510639379</v>
      </c>
      <c r="C11" s="28">
        <f t="shared" ref="C11:O11" si="2">+C10/C9</f>
        <v>0.91764797672720788</v>
      </c>
      <c r="D11" s="28">
        <f t="shared" si="2"/>
        <v>0.9152651533917544</v>
      </c>
      <c r="E11" s="28">
        <f t="shared" si="2"/>
        <v>0.90896590575243885</v>
      </c>
      <c r="F11" s="28">
        <f t="shared" si="2"/>
        <v>0.91043823013134795</v>
      </c>
      <c r="G11" s="28">
        <f t="shared" si="2"/>
        <v>0.90705363458022503</v>
      </c>
      <c r="H11" s="28">
        <f t="shared" si="2"/>
        <v>0.88697691306847404</v>
      </c>
      <c r="I11" s="28">
        <f t="shared" si="2"/>
        <v>0.89591714627614105</v>
      </c>
      <c r="J11" s="28">
        <f t="shared" si="2"/>
        <v>0.90546445757771155</v>
      </c>
      <c r="K11" s="28">
        <f t="shared" si="2"/>
        <v>0.89013070251935389</v>
      </c>
      <c r="L11" s="28">
        <f t="shared" si="2"/>
        <v>0.86973977814093728</v>
      </c>
      <c r="M11" s="28">
        <f t="shared" si="2"/>
        <v>0.86641500825008089</v>
      </c>
      <c r="N11" s="28">
        <f t="shared" si="2"/>
        <v>0.88720785425188142</v>
      </c>
      <c r="O11" s="28">
        <f t="shared" si="2"/>
        <v>0.91273509789812668</v>
      </c>
      <c r="P11" s="28">
        <f t="shared" ref="P11" si="3">+P10/P9</f>
        <v>0.90437418137456493</v>
      </c>
      <c r="Q11" s="28">
        <f t="shared" ref="Q11:V11" si="4">+Q10/Q9</f>
        <v>0.90843202936601342</v>
      </c>
      <c r="R11" s="28">
        <f t="shared" si="4"/>
        <v>0.91144069407461403</v>
      </c>
      <c r="S11" s="28">
        <f t="shared" si="4"/>
        <v>0.8965380728972947</v>
      </c>
      <c r="T11" s="28">
        <f t="shared" si="4"/>
        <v>0.90353688894763506</v>
      </c>
      <c r="U11" s="28">
        <f t="shared" si="4"/>
        <v>0.91192941871275801</v>
      </c>
      <c r="V11" s="28">
        <f t="shared" si="4"/>
        <v>0.92327841739744432</v>
      </c>
      <c r="W11" s="28">
        <f t="shared" ref="W11:X11" si="5">+W10/W9</f>
        <v>0.90745306636253065</v>
      </c>
    </row>
    <row r="12" spans="1:23">
      <c r="B12" s="29"/>
      <c r="C12" s="29"/>
      <c r="D12" s="29"/>
      <c r="E12" s="29"/>
      <c r="F12" s="29"/>
      <c r="G12" s="29"/>
    </row>
    <row r="13" spans="1:23" ht="15.75">
      <c r="A13" s="4" t="s">
        <v>30</v>
      </c>
      <c r="B13" s="14">
        <v>254779000</v>
      </c>
      <c r="C13" s="14">
        <v>302498000</v>
      </c>
      <c r="D13" s="14">
        <v>287678000</v>
      </c>
      <c r="E13" s="14">
        <v>274254000</v>
      </c>
      <c r="F13" s="14">
        <v>269858000</v>
      </c>
      <c r="G13" s="14">
        <v>240769000</v>
      </c>
      <c r="H13" s="14">
        <v>262708000</v>
      </c>
      <c r="I13" s="14">
        <v>284359000</v>
      </c>
      <c r="J13" s="14">
        <v>305230000</v>
      </c>
      <c r="K13" s="14">
        <v>301472000</v>
      </c>
      <c r="L13" s="14">
        <v>296028000</v>
      </c>
      <c r="M13" s="14">
        <v>290222000</v>
      </c>
      <c r="N13" s="14">
        <v>292686000</v>
      </c>
      <c r="O13" s="14">
        <v>504147000</v>
      </c>
      <c r="P13" s="14">
        <v>481157000</v>
      </c>
      <c r="Q13" s="14">
        <v>507671000</v>
      </c>
      <c r="R13" s="14">
        <v>508375000</v>
      </c>
      <c r="S13" s="14">
        <v>513596000</v>
      </c>
      <c r="T13" s="14">
        <v>606112000</v>
      </c>
      <c r="U13" s="14">
        <v>656662000</v>
      </c>
      <c r="V13" s="14">
        <v>711489000</v>
      </c>
      <c r="W13" s="14">
        <v>702689000</v>
      </c>
    </row>
    <row r="14" spans="1:23" ht="15.75">
      <c r="A14" s="4" t="s">
        <v>31</v>
      </c>
      <c r="B14" s="15">
        <f>+B13/B9</f>
        <v>0.80940293671014762</v>
      </c>
      <c r="C14" s="15">
        <f>+C13/C9</f>
        <v>0.84290865317632369</v>
      </c>
      <c r="D14" s="15">
        <f t="shared" ref="D14:O14" si="6">+D13/D9</f>
        <v>0.83836673554020069</v>
      </c>
      <c r="E14" s="15">
        <f t="shared" si="6"/>
        <v>0.83063727197560067</v>
      </c>
      <c r="F14" s="15">
        <f t="shared" si="6"/>
        <v>0.81671206343441682</v>
      </c>
      <c r="G14" s="15">
        <f t="shared" si="6"/>
        <v>0.80328093096499542</v>
      </c>
      <c r="H14" s="15">
        <f t="shared" si="6"/>
        <v>0.79490453568943087</v>
      </c>
      <c r="I14" s="15">
        <f t="shared" si="6"/>
        <v>0.81018576557068778</v>
      </c>
      <c r="J14" s="15">
        <f t="shared" si="6"/>
        <v>0.81330036397742589</v>
      </c>
      <c r="K14" s="15">
        <f t="shared" si="6"/>
        <v>0.80645005965342165</v>
      </c>
      <c r="L14" s="15">
        <f t="shared" si="6"/>
        <v>0.78919123547398984</v>
      </c>
      <c r="M14" s="15">
        <f t="shared" si="6"/>
        <v>0.76988906161298365</v>
      </c>
      <c r="N14" s="15">
        <f t="shared" si="6"/>
        <v>0.78554864890978771</v>
      </c>
      <c r="O14" s="15">
        <f t="shared" si="6"/>
        <v>0.84955756686208661</v>
      </c>
      <c r="P14" s="15">
        <f t="shared" ref="P14:Q14" si="7">+P13/P9</f>
        <v>0.83142450329523732</v>
      </c>
      <c r="Q14" s="15">
        <f t="shared" si="7"/>
        <v>0.8356655500777771</v>
      </c>
      <c r="R14" s="15">
        <f t="shared" ref="R14" si="8">+R13/R9</f>
        <v>0.84027953395580546</v>
      </c>
      <c r="S14" s="15">
        <f>+S13/S9</f>
        <v>0.81986070560290403</v>
      </c>
      <c r="T14" s="15">
        <f>+T13/T9</f>
        <v>0.83453395898045957</v>
      </c>
      <c r="U14" s="15">
        <f>+U13/U9</f>
        <v>0.84675623434080849</v>
      </c>
      <c r="V14" s="15">
        <f>+V13/V9</f>
        <v>0.84291854544248279</v>
      </c>
      <c r="W14" s="15">
        <f>+W13/W9</f>
        <v>0.83135242701446699</v>
      </c>
    </row>
    <row r="15" spans="1:23">
      <c r="B15" s="14"/>
      <c r="C15" s="14"/>
      <c r="D15" s="14"/>
      <c r="E15" s="14"/>
      <c r="F15" s="14"/>
      <c r="G15" s="14"/>
    </row>
    <row r="16" spans="1:23" ht="15.75">
      <c r="A16" s="4" t="s">
        <v>32</v>
      </c>
      <c r="B16" s="14">
        <v>260730000</v>
      </c>
      <c r="C16" s="14">
        <v>279156000</v>
      </c>
      <c r="D16" s="14">
        <v>265284000</v>
      </c>
      <c r="E16" s="14">
        <v>247346000</v>
      </c>
      <c r="F16" s="14">
        <v>243545000</v>
      </c>
      <c r="G16" s="14">
        <v>212967000</v>
      </c>
      <c r="H16" s="14">
        <v>221000000</v>
      </c>
      <c r="I16" s="14">
        <v>240253000</v>
      </c>
      <c r="J16" s="14">
        <v>252030000</v>
      </c>
      <c r="K16" s="14">
        <v>257126000</v>
      </c>
      <c r="L16" s="14">
        <v>267667000</v>
      </c>
      <c r="M16" s="14">
        <v>333251000</v>
      </c>
      <c r="N16" s="14">
        <v>347783000</v>
      </c>
      <c r="O16" s="14">
        <v>418296000</v>
      </c>
      <c r="P16" s="14">
        <v>440005000</v>
      </c>
      <c r="Q16" s="14">
        <v>421516000</v>
      </c>
      <c r="R16" s="14">
        <v>447151000</v>
      </c>
      <c r="S16" s="14">
        <v>602645000</v>
      </c>
      <c r="T16" s="14">
        <v>682489000</v>
      </c>
      <c r="U16" s="14">
        <v>684653000</v>
      </c>
      <c r="V16" s="14">
        <v>670567000</v>
      </c>
      <c r="W16" s="14">
        <v>653366000</v>
      </c>
    </row>
    <row r="17" spans="1:23" ht="15.75">
      <c r="A17" s="5" t="s">
        <v>33</v>
      </c>
      <c r="B17" s="35">
        <f>B16/B45</f>
        <v>0.27136862061360945</v>
      </c>
      <c r="C17" s="35">
        <f>C16/C45</f>
        <v>0.29019191314030329</v>
      </c>
      <c r="D17" s="35">
        <f>D16/D45</f>
        <v>0.27460499278652606</v>
      </c>
      <c r="E17" s="35">
        <f>E16/E45</f>
        <v>0.2550116749191676</v>
      </c>
      <c r="F17" s="35">
        <f>F16/F45</f>
        <v>0.25109287543840886</v>
      </c>
      <c r="G17" s="20">
        <f>+G16/G45</f>
        <v>0.21956721100203913</v>
      </c>
      <c r="H17" s="20">
        <f>+H16/H45</f>
        <v>0.22784916738955166</v>
      </c>
      <c r="I17" s="20">
        <f>+I16/I45</f>
        <v>0.24768998952535465</v>
      </c>
      <c r="J17" s="20">
        <f>+J16/J45</f>
        <v>0.25922048861956437</v>
      </c>
      <c r="K17" s="20">
        <f>+K16/K45</f>
        <v>0.2644618789699405</v>
      </c>
      <c r="L17" s="20">
        <v>0.26</v>
      </c>
      <c r="M17" s="35">
        <f>M16/M45</f>
        <v>0.26552849101641607</v>
      </c>
      <c r="N17" s="35">
        <v>0.25700000000000001</v>
      </c>
      <c r="O17" s="35">
        <f>O16/O45</f>
        <v>0.23048141357296437</v>
      </c>
      <c r="P17" s="35">
        <f>P16/P45</f>
        <v>0.24268399451438258</v>
      </c>
      <c r="Q17" s="35">
        <f>Q16/Q45</f>
        <v>0.23269848305990032</v>
      </c>
      <c r="R17" s="35">
        <v>0.223</v>
      </c>
      <c r="S17" s="35">
        <v>0.245</v>
      </c>
      <c r="T17" s="35">
        <v>0.28000000000000003</v>
      </c>
      <c r="U17" s="35">
        <v>0.28299999999999997</v>
      </c>
      <c r="V17" s="35">
        <v>0.27700000000000002</v>
      </c>
      <c r="W17" s="35">
        <v>0.26900000000000002</v>
      </c>
    </row>
    <row r="18" spans="1:23" ht="15.75">
      <c r="A18" s="4" t="s">
        <v>34</v>
      </c>
      <c r="B18" s="22">
        <f>+B16/B9</f>
        <v>0.82830856423974031</v>
      </c>
      <c r="C18" s="22">
        <f t="shared" ref="C18:F18" si="9">+C16/C9</f>
        <v>0.7778663263429505</v>
      </c>
      <c r="D18" s="22">
        <f t="shared" si="9"/>
        <v>0.77310493354043963</v>
      </c>
      <c r="E18" s="22">
        <f t="shared" si="9"/>
        <v>0.74914060204801725</v>
      </c>
      <c r="F18" s="22">
        <f t="shared" si="9"/>
        <v>0.73707705344712793</v>
      </c>
      <c r="G18" s="22">
        <f t="shared" ref="G18:H18" si="10">+G16/G9</f>
        <v>0.7105247354303178</v>
      </c>
      <c r="H18" s="22">
        <f t="shared" si="10"/>
        <v>0.66870404550818485</v>
      </c>
      <c r="I18" s="22">
        <f t="shared" ref="I18:K18" si="11">+I16/I9</f>
        <v>0.68452048549774913</v>
      </c>
      <c r="J18" s="22">
        <f t="shared" si="11"/>
        <v>0.67154634450490014</v>
      </c>
      <c r="K18" s="22">
        <f t="shared" si="11"/>
        <v>0.68782267686035747</v>
      </c>
      <c r="L18" s="22">
        <f t="shared" ref="L18:N18" si="12">+L16/L9</f>
        <v>0.71358266929350067</v>
      </c>
      <c r="M18" s="22">
        <f t="shared" si="12"/>
        <v>0.88403463442326369</v>
      </c>
      <c r="N18" s="22">
        <f t="shared" si="12"/>
        <v>0.93342512372915931</v>
      </c>
      <c r="O18" s="22">
        <f t="shared" ref="O18:Q18" si="13">+O16/O9</f>
        <v>0.70488673340938923</v>
      </c>
      <c r="P18" s="22">
        <f t="shared" si="13"/>
        <v>0.76031511247351891</v>
      </c>
      <c r="Q18" s="22">
        <f t="shared" si="13"/>
        <v>0.69384778726101015</v>
      </c>
      <c r="R18" s="22">
        <f t="shared" ref="R18:X18" si="14">+R16/R9</f>
        <v>0.73908401059822448</v>
      </c>
      <c r="S18" s="22">
        <f t="shared" si="14"/>
        <v>0.96201090921280952</v>
      </c>
      <c r="T18" s="22">
        <f t="shared" si="14"/>
        <v>0.93969472165311829</v>
      </c>
      <c r="U18" s="22">
        <f t="shared" si="14"/>
        <v>0.88285022752974518</v>
      </c>
      <c r="V18" s="22">
        <f t="shared" si="14"/>
        <v>0.79443724395138837</v>
      </c>
      <c r="W18" s="22">
        <f t="shared" si="14"/>
        <v>0.7729983105310233</v>
      </c>
    </row>
    <row r="19" spans="1:23" ht="15.75">
      <c r="A19" s="4" t="s">
        <v>35</v>
      </c>
      <c r="B19" s="22">
        <f>+B17/B46*4</f>
        <v>9.0080869913231346E-2</v>
      </c>
      <c r="C19" s="22">
        <f t="shared" ref="C19:F19" si="15">+C17/C46*4</f>
        <v>0.13342156925990958</v>
      </c>
      <c r="D19" s="22">
        <f t="shared" si="15"/>
        <v>0.11162804584818133</v>
      </c>
      <c r="E19" s="22">
        <f t="shared" si="15"/>
        <v>0.10200466996766704</v>
      </c>
      <c r="F19" s="22">
        <f t="shared" si="15"/>
        <v>8.6808254257012565E-2</v>
      </c>
      <c r="G19" s="22">
        <f t="shared" ref="G19:H19" si="16">+G17/G46*4</f>
        <v>7.6838918985840471E-2</v>
      </c>
      <c r="H19" s="22">
        <f t="shared" si="16"/>
        <v>7.439972812720054E-2</v>
      </c>
      <c r="I19" s="22">
        <f t="shared" ref="I19:K19" si="17">+I17/I46*4</f>
        <v>8.1813373914237708E-2</v>
      </c>
      <c r="J19" s="22">
        <f t="shared" si="17"/>
        <v>8.4505456762694178E-2</v>
      </c>
      <c r="K19" s="22">
        <f t="shared" si="17"/>
        <v>8.6496117406358292E-2</v>
      </c>
      <c r="L19" s="22">
        <f t="shared" ref="L19" si="18">+L17/L46*4</f>
        <v>8.6021505376344093E-2</v>
      </c>
      <c r="M19" s="22">
        <f t="shared" ref="M19:Q19" si="19">+M17/M46*4</f>
        <v>8.6987220644198546E-2</v>
      </c>
      <c r="N19" s="22">
        <f t="shared" si="19"/>
        <v>8.3037156704361875E-2</v>
      </c>
      <c r="O19" s="22">
        <f t="shared" si="19"/>
        <v>7.5382310244632655E-2</v>
      </c>
      <c r="P19" s="22">
        <f t="shared" si="19"/>
        <v>8.2405431074493246E-2</v>
      </c>
      <c r="Q19" s="22">
        <f t="shared" si="19"/>
        <v>8.5866598915092365E-2</v>
      </c>
      <c r="R19" s="22">
        <f t="shared" ref="R19:X19" si="20">+R17/R46*4</f>
        <v>7.2697636511817446E-2</v>
      </c>
      <c r="S19" s="22">
        <f t="shared" si="20"/>
        <v>8.5889570552147243E-2</v>
      </c>
      <c r="T19" s="22">
        <f t="shared" si="20"/>
        <v>0.11463664278403277</v>
      </c>
      <c r="U19" s="22">
        <f t="shared" si="20"/>
        <v>0.1078095238095238</v>
      </c>
      <c r="V19" s="22">
        <f t="shared" si="20"/>
        <v>0.1025925925925926</v>
      </c>
      <c r="W19" s="22">
        <f t="shared" si="20"/>
        <v>9.1418861512319469E-2</v>
      </c>
    </row>
    <row r="20" spans="1:23">
      <c r="B20" s="14"/>
      <c r="C20" s="14"/>
      <c r="D20" s="14"/>
      <c r="E20" s="14"/>
      <c r="F20" s="14"/>
      <c r="G20" s="14"/>
    </row>
    <row r="21" spans="1:23" ht="15.75">
      <c r="A21" s="4" t="s">
        <v>36</v>
      </c>
      <c r="B21" s="14">
        <v>251025000</v>
      </c>
      <c r="C21" s="14">
        <v>259953000</v>
      </c>
      <c r="D21" s="14">
        <v>258538000</v>
      </c>
      <c r="E21" s="14">
        <v>243162000</v>
      </c>
      <c r="F21" s="14">
        <v>202155000</v>
      </c>
      <c r="G21" s="14">
        <v>212712000</v>
      </c>
      <c r="H21" s="14">
        <v>216187000</v>
      </c>
      <c r="I21" s="13">
        <v>237266000</v>
      </c>
      <c r="J21" s="13">
        <v>239810000</v>
      </c>
      <c r="K21" s="14">
        <v>244878000</v>
      </c>
      <c r="L21" s="14">
        <v>314141000</v>
      </c>
      <c r="M21" s="14">
        <v>320999000</v>
      </c>
      <c r="N21" s="14">
        <v>346063000</v>
      </c>
      <c r="O21" s="14">
        <v>405077000</v>
      </c>
      <c r="P21" s="14">
        <v>426786000</v>
      </c>
      <c r="Q21" s="14">
        <v>408297000</v>
      </c>
      <c r="R21" s="14">
        <v>459807000</v>
      </c>
      <c r="S21" s="14">
        <v>585645000</v>
      </c>
      <c r="T21" s="14">
        <v>665489000</v>
      </c>
      <c r="U21" s="14">
        <v>661300000</v>
      </c>
      <c r="V21" s="14">
        <v>647590000</v>
      </c>
      <c r="W21" s="14">
        <v>629734000</v>
      </c>
    </row>
    <row r="22" spans="1:23" ht="15.75">
      <c r="A22" s="5" t="s">
        <v>37</v>
      </c>
      <c r="B22" s="20">
        <f t="shared" ref="B22:O22" si="21">+B21/B45</f>
        <v>0.26126762547283128</v>
      </c>
      <c r="C22" s="20">
        <f t="shared" si="21"/>
        <v>0.27022975825904244</v>
      </c>
      <c r="D22" s="20">
        <f t="shared" si="21"/>
        <v>0.26762196598755628</v>
      </c>
      <c r="E22" s="20">
        <f t="shared" si="21"/>
        <v>0.25069800561438083</v>
      </c>
      <c r="F22" s="20">
        <f t="shared" si="21"/>
        <v>0.20842012865898107</v>
      </c>
      <c r="G22" s="20">
        <f t="shared" si="21"/>
        <v>0.21930430811658966</v>
      </c>
      <c r="H22" s="20">
        <f t="shared" si="21"/>
        <v>0.22288700430065614</v>
      </c>
      <c r="I22" s="20">
        <f t="shared" si="21"/>
        <v>0.24461052746364373</v>
      </c>
      <c r="J22" s="20">
        <f t="shared" si="21"/>
        <v>0.24665184849366237</v>
      </c>
      <c r="K22" s="20">
        <f t="shared" si="21"/>
        <v>0.25186443999595953</v>
      </c>
      <c r="L22" s="20">
        <f t="shared" si="21"/>
        <v>0.25030198167863849</v>
      </c>
      <c r="M22" s="20">
        <f t="shared" si="21"/>
        <v>0.25576631454302773</v>
      </c>
      <c r="N22" s="20">
        <v>0.25559999999999999</v>
      </c>
      <c r="O22" s="20">
        <f t="shared" si="21"/>
        <v>0.22319773453701608</v>
      </c>
      <c r="P22" s="20">
        <f t="shared" ref="P22:Q22" si="22">+P21/P45</f>
        <v>0.23539307799414844</v>
      </c>
      <c r="Q22" s="20">
        <f t="shared" si="22"/>
        <v>0.22540091606939741</v>
      </c>
      <c r="R22" s="20">
        <v>0.22700000000000001</v>
      </c>
      <c r="S22" s="20">
        <v>0.23799999999999999</v>
      </c>
      <c r="T22" s="20">
        <f t="shared" ref="T22" si="23">+T21/T45</f>
        <v>0.27300081929617964</v>
      </c>
      <c r="U22" s="20">
        <v>0.27300000000000002</v>
      </c>
      <c r="V22" s="20">
        <v>0.26800000000000002</v>
      </c>
      <c r="W22" s="20">
        <v>0.25900000000000001</v>
      </c>
    </row>
    <row r="23" spans="1:23" ht="15.75">
      <c r="A23" s="4" t="s">
        <v>38</v>
      </c>
      <c r="B23" s="22">
        <f t="shared" ref="B23:E23" si="24">+B21/B9</f>
        <v>0.79747691994891567</v>
      </c>
      <c r="C23" s="22">
        <f t="shared" si="24"/>
        <v>0.72435729531813398</v>
      </c>
      <c r="D23" s="22">
        <f t="shared" si="24"/>
        <v>0.75344537668188882</v>
      </c>
      <c r="E23" s="22">
        <f t="shared" si="24"/>
        <v>0.73646845744503642</v>
      </c>
      <c r="F23" s="22">
        <f t="shared" ref="F23:G23" si="25">+F21/F9</f>
        <v>0.61181223896858539</v>
      </c>
      <c r="G23" s="22">
        <f t="shared" si="25"/>
        <v>0.70967397541804011</v>
      </c>
      <c r="H23" s="22">
        <f t="shared" ref="H23:K23" si="26">+H21/H9</f>
        <v>0.6541408212048776</v>
      </c>
      <c r="I23" s="22">
        <f t="shared" si="26"/>
        <v>0.676010029061485</v>
      </c>
      <c r="J23" s="22">
        <f t="shared" si="26"/>
        <v>0.63898555281403047</v>
      </c>
      <c r="K23" s="22">
        <f t="shared" si="26"/>
        <v>0.65505877065800666</v>
      </c>
      <c r="L23" s="22">
        <f t="shared" ref="L23:N23" si="27">+L21/L9</f>
        <v>0.83747930568403883</v>
      </c>
      <c r="M23" s="22">
        <f t="shared" si="27"/>
        <v>0.85153302950398713</v>
      </c>
      <c r="N23" s="22">
        <f t="shared" si="27"/>
        <v>0.9288087646408365</v>
      </c>
      <c r="O23" s="22">
        <f t="shared" ref="O23:Q23" si="28">+O21/O9</f>
        <v>0.68261088633234646</v>
      </c>
      <c r="P23" s="22">
        <f t="shared" si="28"/>
        <v>0.73747308687883828</v>
      </c>
      <c r="Q23" s="22">
        <f t="shared" si="28"/>
        <v>0.67208829556958383</v>
      </c>
      <c r="R23" s="22">
        <f t="shared" ref="R23:X23" si="29">+R21/R9</f>
        <v>0.7600027768273756</v>
      </c>
      <c r="S23" s="22">
        <f t="shared" si="29"/>
        <v>0.93487356391563159</v>
      </c>
      <c r="T23" s="22">
        <f t="shared" si="29"/>
        <v>0.91628802899125417</v>
      </c>
      <c r="U23" s="22">
        <f t="shared" si="29"/>
        <v>0.85273686884512379</v>
      </c>
      <c r="V23" s="22">
        <f t="shared" si="29"/>
        <v>0.76721582602555694</v>
      </c>
      <c r="W23" s="22">
        <f t="shared" si="29"/>
        <v>0.74503925530857651</v>
      </c>
    </row>
    <row r="24" spans="1:23" ht="15.75">
      <c r="A24" s="8" t="s">
        <v>39</v>
      </c>
      <c r="B24" s="18">
        <f>+B22/B46*4</f>
        <v>8.6727842480607886E-2</v>
      </c>
      <c r="C24" s="18">
        <f t="shared" ref="C24:E24" si="30">+C22/C46*4</f>
        <v>0.1242435670156517</v>
      </c>
      <c r="D24" s="18">
        <f t="shared" si="30"/>
        <v>0.10878941706811231</v>
      </c>
      <c r="E24" s="18">
        <f t="shared" si="30"/>
        <v>0.10027920224575233</v>
      </c>
      <c r="F24" s="18">
        <f t="shared" ref="F24:G24" si="31">+F22/F46*4</f>
        <v>7.2055359951246692E-2</v>
      </c>
      <c r="G24" s="18">
        <f t="shared" si="31"/>
        <v>7.6746914476496814E-2</v>
      </c>
      <c r="H24" s="18">
        <f t="shared" ref="H24:K24" si="32">+H22/H46*4</f>
        <v>7.2779429975724452E-2</v>
      </c>
      <c r="I24" s="18">
        <f t="shared" si="32"/>
        <v>8.0796210557768366E-2</v>
      </c>
      <c r="J24" s="18">
        <f t="shared" si="32"/>
        <v>8.040810056843109E-2</v>
      </c>
      <c r="K24" s="18">
        <f t="shared" si="32"/>
        <v>8.2375941127051364E-2</v>
      </c>
      <c r="L24" s="18">
        <f t="shared" ref="L24:N24" si="33">+L22/L46*4</f>
        <v>8.2812897164148386E-2</v>
      </c>
      <c r="M24" s="18">
        <f t="shared" si="33"/>
        <v>8.3789128433424315E-2</v>
      </c>
      <c r="N24" s="18">
        <f t="shared" si="33"/>
        <v>8.2584814216478189E-2</v>
      </c>
      <c r="O24" s="18">
        <f t="shared" ref="O24:Q24" si="34">+O22/O46*4</f>
        <v>7.3000076708754233E-2</v>
      </c>
      <c r="P24" s="18">
        <f t="shared" si="34"/>
        <v>7.9929737858794037E-2</v>
      </c>
      <c r="Q24" s="18">
        <f t="shared" si="34"/>
        <v>8.3173769767305325E-2</v>
      </c>
      <c r="R24" s="18">
        <f t="shared" ref="R24:X24" si="35">+R22/R46*4</f>
        <v>7.4001629991850046E-2</v>
      </c>
      <c r="S24" s="18">
        <f t="shared" si="35"/>
        <v>8.343558282208588E-2</v>
      </c>
      <c r="T24" s="18">
        <f t="shared" si="35"/>
        <v>0.11177106214787294</v>
      </c>
      <c r="U24" s="18">
        <f t="shared" si="35"/>
        <v>0.10400000000000001</v>
      </c>
      <c r="V24" s="18">
        <f t="shared" si="35"/>
        <v>9.9259259259259255E-2</v>
      </c>
      <c r="W24" s="18">
        <f t="shared" si="35"/>
        <v>8.8020390824129144E-2</v>
      </c>
    </row>
    <row r="25" spans="1:23">
      <c r="B25" s="14"/>
      <c r="C25" s="14"/>
      <c r="D25" s="14"/>
      <c r="E25" s="14"/>
      <c r="F25" s="14"/>
      <c r="G25" s="14"/>
    </row>
    <row r="26" spans="1:23" ht="15.75">
      <c r="A26" s="5" t="s">
        <v>40</v>
      </c>
      <c r="B26" s="23">
        <f>B22</f>
        <v>0.26126762547283128</v>
      </c>
      <c r="C26" s="23">
        <f t="shared" ref="C26:R26" si="36">C22</f>
        <v>0.27022975825904244</v>
      </c>
      <c r="D26" s="23">
        <f t="shared" si="36"/>
        <v>0.26762196598755628</v>
      </c>
      <c r="E26" s="23">
        <f t="shared" si="36"/>
        <v>0.25069800561438083</v>
      </c>
      <c r="F26" s="23">
        <f t="shared" si="36"/>
        <v>0.20842012865898107</v>
      </c>
      <c r="G26" s="23">
        <f t="shared" si="36"/>
        <v>0.21930430811658966</v>
      </c>
      <c r="H26" s="23">
        <f t="shared" si="36"/>
        <v>0.22288700430065614</v>
      </c>
      <c r="I26" s="23">
        <f t="shared" si="36"/>
        <v>0.24461052746364373</v>
      </c>
      <c r="J26" s="23">
        <f t="shared" si="36"/>
        <v>0.24665184849366237</v>
      </c>
      <c r="K26" s="23">
        <f t="shared" si="36"/>
        <v>0.25186443999595953</v>
      </c>
      <c r="L26" s="23">
        <f t="shared" si="36"/>
        <v>0.25030198167863849</v>
      </c>
      <c r="M26" s="23">
        <f t="shared" si="36"/>
        <v>0.25576631454302773</v>
      </c>
      <c r="N26" s="23">
        <f t="shared" si="36"/>
        <v>0.25559999999999999</v>
      </c>
      <c r="O26" s="23">
        <f t="shared" si="36"/>
        <v>0.22319773453701608</v>
      </c>
      <c r="P26" s="23">
        <f t="shared" si="36"/>
        <v>0.23539307799414844</v>
      </c>
      <c r="Q26" s="23">
        <f t="shared" si="36"/>
        <v>0.22540091606939741</v>
      </c>
      <c r="R26" s="23">
        <f t="shared" si="36"/>
        <v>0.22700000000000001</v>
      </c>
      <c r="S26">
        <v>0.23799999999999999</v>
      </c>
      <c r="T26">
        <v>0.247</v>
      </c>
      <c r="U26">
        <v>0.25700000000000001</v>
      </c>
      <c r="V26">
        <v>0.26800000000000002</v>
      </c>
      <c r="W26">
        <v>0.25900000000000001</v>
      </c>
    </row>
    <row r="27" spans="1:23">
      <c r="B27" s="14"/>
      <c r="C27" s="14"/>
      <c r="D27" s="14"/>
      <c r="E27" s="14"/>
      <c r="F27" s="14"/>
      <c r="G27" s="14"/>
    </row>
    <row r="28" spans="1:23" ht="15.75">
      <c r="A28" s="5" t="s">
        <v>41</v>
      </c>
      <c r="B28" s="19">
        <f t="shared" ref="B28:G28" si="37">+B21</f>
        <v>251025000</v>
      </c>
      <c r="C28" s="19">
        <f t="shared" si="37"/>
        <v>259953000</v>
      </c>
      <c r="D28" s="19">
        <f t="shared" si="37"/>
        <v>258538000</v>
      </c>
      <c r="E28" s="19">
        <f t="shared" si="37"/>
        <v>243162000</v>
      </c>
      <c r="F28" s="19">
        <f t="shared" si="37"/>
        <v>202155000</v>
      </c>
      <c r="G28" s="19">
        <f t="shared" si="37"/>
        <v>212712000</v>
      </c>
      <c r="H28" s="30">
        <f t="shared" ref="H28:M28" si="38">H21</f>
        <v>216187000</v>
      </c>
      <c r="I28" s="13">
        <f t="shared" si="38"/>
        <v>237266000</v>
      </c>
      <c r="J28" s="13">
        <f t="shared" si="38"/>
        <v>239810000</v>
      </c>
      <c r="K28" s="13">
        <f t="shared" si="38"/>
        <v>244878000</v>
      </c>
      <c r="L28" s="13">
        <f t="shared" si="38"/>
        <v>314141000</v>
      </c>
      <c r="M28" s="13">
        <f t="shared" si="38"/>
        <v>320999000</v>
      </c>
      <c r="N28" s="13">
        <v>346062772</v>
      </c>
      <c r="O28" s="13">
        <f>O21</f>
        <v>405077000</v>
      </c>
      <c r="P28" s="13">
        <f>P21</f>
        <v>426786000</v>
      </c>
      <c r="Q28" s="13">
        <f>Q21</f>
        <v>408297000</v>
      </c>
      <c r="R28" s="13">
        <f>R21</f>
        <v>459807000</v>
      </c>
      <c r="S28" s="13">
        <v>585645000</v>
      </c>
      <c r="T28" s="13">
        <v>602556000</v>
      </c>
      <c r="U28" s="13">
        <v>622120000</v>
      </c>
      <c r="V28" s="13">
        <v>647590000</v>
      </c>
      <c r="W28" s="13"/>
    </row>
    <row r="29" spans="1:23" ht="15.75">
      <c r="A29" s="5" t="s">
        <v>42</v>
      </c>
      <c r="B29" s="44">
        <v>0.26124620658905273</v>
      </c>
      <c r="C29" s="44">
        <v>0.26946999999999999</v>
      </c>
      <c r="D29" s="44">
        <v>0.26729999999999998</v>
      </c>
      <c r="E29" s="44">
        <v>0.25089</v>
      </c>
      <c r="F29" s="44">
        <v>0.20849999999999999</v>
      </c>
      <c r="G29" s="44">
        <v>0.21930430811658966</v>
      </c>
      <c r="H29" s="44">
        <v>0.22288700430065614</v>
      </c>
      <c r="I29" s="44">
        <v>0.24410000000000001</v>
      </c>
      <c r="J29" s="44">
        <v>0.24665184849366237</v>
      </c>
      <c r="K29" s="44">
        <v>0.25186482655878312</v>
      </c>
      <c r="L29" s="44">
        <v>0.25030209729174713</v>
      </c>
      <c r="M29" s="44">
        <v>0.25576599495365593</v>
      </c>
      <c r="N29" s="44">
        <v>0.25551000000000001</v>
      </c>
      <c r="O29" s="44">
        <v>0.22331999999999999</v>
      </c>
      <c r="P29" s="44">
        <v>0.23554</v>
      </c>
      <c r="Q29" s="44">
        <v>0.22516</v>
      </c>
      <c r="R29" s="44">
        <v>0.22758</v>
      </c>
      <c r="S29" s="44">
        <v>0.23957999999999999</v>
      </c>
      <c r="T29" s="44">
        <v>0.24806300000000001</v>
      </c>
      <c r="U29" s="44">
        <v>0.25721176299923854</v>
      </c>
      <c r="V29">
        <v>0.26700000000000002</v>
      </c>
    </row>
    <row r="30" spans="1:23" ht="15.75">
      <c r="A30" s="5" t="s">
        <v>43</v>
      </c>
      <c r="B30" s="32">
        <f t="shared" ref="B30:S30" si="39">+B29/B48</f>
        <v>1.3141944737885214E-2</v>
      </c>
      <c r="C30" s="32">
        <f t="shared" si="39"/>
        <v>1.1532808967024143E-2</v>
      </c>
      <c r="D30" s="32">
        <f t="shared" si="39"/>
        <v>1.2089034592397208E-2</v>
      </c>
      <c r="E30" s="32">
        <f t="shared" si="39"/>
        <v>1.2160335184876301E-2</v>
      </c>
      <c r="F30" s="32">
        <f t="shared" si="39"/>
        <v>1.0260859874821339E-2</v>
      </c>
      <c r="G30" s="32">
        <f t="shared" si="39"/>
        <v>1.093801160937353E-2</v>
      </c>
      <c r="H30" s="32">
        <f t="shared" si="39"/>
        <v>1.1139098493324675E-2</v>
      </c>
      <c r="I30" s="32">
        <f t="shared" si="39"/>
        <v>1.1765909062807606E-2</v>
      </c>
      <c r="J30" s="32">
        <f t="shared" si="39"/>
        <v>1.2017599784379189E-2</v>
      </c>
      <c r="K30" s="32">
        <f t="shared" si="39"/>
        <v>1.2566705555345883E-2</v>
      </c>
      <c r="L30" s="32">
        <f t="shared" si="39"/>
        <v>1.236534109507321E-2</v>
      </c>
      <c r="M30" s="32">
        <f t="shared" si="39"/>
        <v>1.2983641455917832E-2</v>
      </c>
      <c r="N30" s="32">
        <f t="shared" si="39"/>
        <v>1.3660608789614658E-2</v>
      </c>
      <c r="O30" s="32">
        <f t="shared" si="39"/>
        <v>1.2600445049406635E-2</v>
      </c>
      <c r="P30" s="32">
        <f t="shared" si="39"/>
        <v>1.3808062421774936E-2</v>
      </c>
      <c r="Q30" s="32">
        <f t="shared" si="39"/>
        <v>1.2805854805917125E-2</v>
      </c>
      <c r="R30" s="32">
        <f t="shared" si="39"/>
        <v>1.3390648417516962E-2</v>
      </c>
      <c r="S30" s="32">
        <f t="shared" si="39"/>
        <v>1.3924093318551999E-2</v>
      </c>
      <c r="T30" s="32">
        <f>+T29/T48</f>
        <v>1.3114569795511555E-2</v>
      </c>
      <c r="U30" s="32">
        <f>+U29/U48</f>
        <v>1.2817904527884071E-2</v>
      </c>
      <c r="V30" s="32">
        <f>+V29/V48</f>
        <v>1.3073943679213411E-2</v>
      </c>
      <c r="W30" s="32"/>
    </row>
    <row r="31" spans="1:23" ht="15.75">
      <c r="A31" s="10" t="s">
        <v>44</v>
      </c>
      <c r="B31" s="18">
        <f>+B29/B46*4</f>
        <v>8.6720732477693852E-2</v>
      </c>
      <c r="C31" s="18">
        <f t="shared" ref="C31:F31" si="40">+C29/C46*4</f>
        <v>0.12389425287356322</v>
      </c>
      <c r="D31" s="18">
        <f t="shared" si="40"/>
        <v>0.10865853658536585</v>
      </c>
      <c r="E31" s="18">
        <f t="shared" si="40"/>
        <v>0.100356</v>
      </c>
      <c r="F31" s="18">
        <f t="shared" si="40"/>
        <v>7.2082973206568701E-2</v>
      </c>
      <c r="G31" s="18">
        <f t="shared" ref="G31:H31" si="41">+G29/G46*4</f>
        <v>7.6746914476496814E-2</v>
      </c>
      <c r="H31" s="18">
        <f t="shared" si="41"/>
        <v>7.2779429975724452E-2</v>
      </c>
      <c r="I31" s="18">
        <f t="shared" ref="I31:K31" si="42">+I29/I46*4</f>
        <v>8.0627580511973579E-2</v>
      </c>
      <c r="J31" s="18">
        <f t="shared" si="42"/>
        <v>8.040810056843109E-2</v>
      </c>
      <c r="K31" s="18">
        <f t="shared" si="42"/>
        <v>8.23760675580648E-2</v>
      </c>
      <c r="L31" s="18">
        <f t="shared" ref="L31:N31" si="43">+L29/L46*4</f>
        <v>8.2812935414970104E-2</v>
      </c>
      <c r="M31" s="18">
        <f t="shared" si="43"/>
        <v>8.3789023735841406E-2</v>
      </c>
      <c r="N31" s="18">
        <f t="shared" si="43"/>
        <v>8.2555735056542817E-2</v>
      </c>
      <c r="O31" s="18">
        <f t="shared" ref="O31:Q31" si="44">+O29/O46*4</f>
        <v>7.3040065412919047E-2</v>
      </c>
      <c r="P31" s="18">
        <f t="shared" si="44"/>
        <v>7.9979626485568764E-2</v>
      </c>
      <c r="Q31" s="18">
        <f t="shared" si="44"/>
        <v>8.3084870848708484E-2</v>
      </c>
      <c r="R31" s="18">
        <f t="shared" ref="R31:V31" si="45">+R29/R46*4</f>
        <v>7.4190709046454778E-2</v>
      </c>
      <c r="S31" s="18">
        <f t="shared" si="45"/>
        <v>8.3989482909728297E-2</v>
      </c>
      <c r="T31" s="18">
        <f t="shared" si="45"/>
        <v>0.1015611054247697</v>
      </c>
      <c r="U31" s="18">
        <f t="shared" si="45"/>
        <v>9.7985433523519447E-2</v>
      </c>
      <c r="V31" s="18">
        <f t="shared" si="45"/>
        <v>9.8888888888888887E-2</v>
      </c>
      <c r="W31" s="18"/>
    </row>
    <row r="32" spans="1:23">
      <c r="B32" s="14"/>
      <c r="C32" s="14"/>
      <c r="D32" s="14"/>
      <c r="E32" s="14"/>
      <c r="F32" s="14"/>
      <c r="G32" s="14"/>
    </row>
    <row r="33" spans="1:25" ht="15.75">
      <c r="A33" s="4" t="s">
        <v>45</v>
      </c>
      <c r="B33" s="14">
        <v>3689730000</v>
      </c>
      <c r="C33" s="14">
        <v>3511694000</v>
      </c>
      <c r="D33" s="14">
        <v>3458572000</v>
      </c>
      <c r="E33" s="14">
        <f>(707798+1660000)*1000</f>
        <v>2367798000</v>
      </c>
      <c r="F33" s="14">
        <v>2347551000</v>
      </c>
      <c r="G33" s="14">
        <v>877979000</v>
      </c>
      <c r="H33" s="14">
        <v>990545000</v>
      </c>
      <c r="I33" s="14">
        <v>1059608000</v>
      </c>
      <c r="J33" s="14">
        <v>1062663000</v>
      </c>
      <c r="K33" s="14">
        <v>1103533000</v>
      </c>
      <c r="L33" s="14">
        <v>4437217000</v>
      </c>
      <c r="M33" s="14">
        <v>4277140000</v>
      </c>
      <c r="N33" s="14">
        <v>986964000</v>
      </c>
      <c r="O33" s="14">
        <v>2160315000</v>
      </c>
      <c r="P33" s="14">
        <v>2229302000</v>
      </c>
      <c r="Q33" s="14">
        <v>1038859000</v>
      </c>
      <c r="R33" s="14">
        <v>7213597000</v>
      </c>
      <c r="S33" s="14">
        <v>7990442000</v>
      </c>
      <c r="T33" s="14">
        <v>8387736000</v>
      </c>
      <c r="U33" s="14">
        <v>6198210000</v>
      </c>
      <c r="V33" s="14">
        <v>6291133000</v>
      </c>
      <c r="W33" s="14">
        <v>4136032000</v>
      </c>
    </row>
    <row r="34" spans="1:25" ht="15.75">
      <c r="A34" s="4" t="s">
        <v>46</v>
      </c>
      <c r="B34" s="14">
        <v>16172158000</v>
      </c>
      <c r="C34" s="14">
        <v>14973285000</v>
      </c>
      <c r="D34" s="14">
        <v>14614765000</v>
      </c>
      <c r="E34" s="14">
        <v>13666591000</v>
      </c>
      <c r="F34" s="14">
        <v>13844102000</v>
      </c>
      <c r="G34" s="14">
        <v>15418651000</v>
      </c>
      <c r="H34" s="14">
        <v>15990198000</v>
      </c>
      <c r="I34" s="14">
        <v>17352991000</v>
      </c>
      <c r="J34" s="14">
        <v>17082113000</v>
      </c>
      <c r="K34" s="14">
        <v>17685621000</v>
      </c>
      <c r="L34" s="14">
        <v>17806397000</v>
      </c>
      <c r="M34" s="14">
        <v>17639279000</v>
      </c>
      <c r="N34" s="14">
        <v>27852723000</v>
      </c>
      <c r="O34" s="14">
        <v>26808868000</v>
      </c>
      <c r="P34" s="14">
        <v>28441464000</v>
      </c>
      <c r="Q34" s="14">
        <v>27265219000</v>
      </c>
      <c r="R34" s="14">
        <v>27103386000</v>
      </c>
      <c r="S34" s="14">
        <v>31138155000</v>
      </c>
      <c r="T34" s="14">
        <v>34108288000</v>
      </c>
      <c r="U34" s="14">
        <v>38115359000</v>
      </c>
      <c r="V34" s="14">
        <v>38817087000</v>
      </c>
      <c r="W34" s="14">
        <v>37963669000</v>
      </c>
      <c r="Y34" s="14"/>
    </row>
    <row r="35" spans="1:25" ht="15.75">
      <c r="A35" s="4" t="s">
        <v>47</v>
      </c>
      <c r="B35" s="14">
        <v>20094536000</v>
      </c>
      <c r="C35" s="14">
        <v>18668268000</v>
      </c>
      <c r="D35" s="14">
        <v>18264191000</v>
      </c>
      <c r="E35" s="14">
        <v>16181141000</v>
      </c>
      <c r="F35" s="14">
        <v>16352059000</v>
      </c>
      <c r="G35" s="14">
        <v>16850731000</v>
      </c>
      <c r="H35" s="14">
        <v>17454622000</v>
      </c>
      <c r="I35" s="14">
        <v>18808265000</v>
      </c>
      <c r="J35" s="14">
        <v>18532843000</v>
      </c>
      <c r="K35" s="14">
        <v>19067254000</v>
      </c>
      <c r="L35" s="14">
        <v>22558917000</v>
      </c>
      <c r="M35" s="14">
        <v>22215849000</v>
      </c>
      <c r="N35" s="14">
        <v>30570937000</v>
      </c>
      <c r="O35" s="14">
        <v>29402283000</v>
      </c>
      <c r="P35" s="14">
        <v>31158024000</v>
      </c>
      <c r="Q35" s="14">
        <v>28991675000</v>
      </c>
      <c r="R35" s="14">
        <v>36108233000</v>
      </c>
      <c r="S35" s="14">
        <v>40470856000</v>
      </c>
      <c r="T35" s="14">
        <v>44459428000</v>
      </c>
      <c r="U35" s="14">
        <v>46013334000</v>
      </c>
      <c r="V35" s="14">
        <v>46572729000</v>
      </c>
      <c r="W35" s="14">
        <v>43814629000</v>
      </c>
      <c r="Y35" s="14"/>
    </row>
    <row r="36" spans="1:25" ht="15.75">
      <c r="A36" s="4" t="s">
        <v>48</v>
      </c>
      <c r="B36" s="14">
        <v>6299805000</v>
      </c>
      <c r="C36" s="14">
        <v>5869498000</v>
      </c>
      <c r="D36" s="14">
        <v>5629444000</v>
      </c>
      <c r="E36" s="14">
        <f>(4082194+53165)*1000</f>
        <v>4135359000</v>
      </c>
      <c r="F36" s="14">
        <v>4261107000</v>
      </c>
      <c r="G36" s="14">
        <v>4083208000</v>
      </c>
      <c r="H36" s="14">
        <v>4480706000</v>
      </c>
      <c r="I36" s="14">
        <v>5470088000</v>
      </c>
      <c r="J36" s="14">
        <v>5296589000</v>
      </c>
      <c r="K36" s="14">
        <v>5369941000</v>
      </c>
      <c r="L36" s="14">
        <v>5381643000</v>
      </c>
      <c r="M36" s="14">
        <v>5158977000</v>
      </c>
      <c r="N36" s="14">
        <v>11141123000</v>
      </c>
      <c r="O36" s="14">
        <v>7442715000</v>
      </c>
      <c r="P36" s="14">
        <v>7836280000</v>
      </c>
      <c r="Q36" s="14">
        <v>7597339000</v>
      </c>
      <c r="R36" s="14">
        <v>7583431000</v>
      </c>
      <c r="S36" s="14">
        <v>10010263000</v>
      </c>
      <c r="T36" s="14">
        <v>11305699000</v>
      </c>
      <c r="U36" s="14">
        <v>11787606000</v>
      </c>
      <c r="V36" s="14">
        <v>12029405000</v>
      </c>
      <c r="W36" s="14">
        <v>11291592000</v>
      </c>
    </row>
    <row r="37" spans="1:25" ht="15.75">
      <c r="A37" s="4" t="s">
        <v>49</v>
      </c>
      <c r="B37" s="26">
        <f>+B36-B33</f>
        <v>2610075000</v>
      </c>
      <c r="C37" s="26">
        <f t="shared" ref="C37:O37" si="46">+C36-C33</f>
        <v>2357804000</v>
      </c>
      <c r="D37" s="26">
        <f t="shared" si="46"/>
        <v>2170872000</v>
      </c>
      <c r="E37" s="26">
        <f t="shared" si="46"/>
        <v>1767561000</v>
      </c>
      <c r="F37" s="26">
        <f t="shared" si="46"/>
        <v>1913556000</v>
      </c>
      <c r="G37" s="26">
        <f t="shared" si="46"/>
        <v>3205229000</v>
      </c>
      <c r="H37" s="26">
        <f t="shared" si="46"/>
        <v>3490161000</v>
      </c>
      <c r="I37" s="26">
        <f t="shared" si="46"/>
        <v>4410480000</v>
      </c>
      <c r="J37" s="26">
        <f t="shared" si="46"/>
        <v>4233926000</v>
      </c>
      <c r="K37" s="26">
        <f t="shared" si="46"/>
        <v>4266408000</v>
      </c>
      <c r="L37" s="26">
        <f t="shared" si="46"/>
        <v>944426000</v>
      </c>
      <c r="M37" s="26">
        <f t="shared" si="46"/>
        <v>881837000</v>
      </c>
      <c r="N37" s="26">
        <f t="shared" si="46"/>
        <v>10154159000</v>
      </c>
      <c r="O37" s="26">
        <f t="shared" si="46"/>
        <v>5282400000</v>
      </c>
      <c r="P37" s="26">
        <f t="shared" ref="P37:Q37" si="47">+P36-P33</f>
        <v>5606978000</v>
      </c>
      <c r="Q37" s="26">
        <f t="shared" si="47"/>
        <v>6558480000</v>
      </c>
      <c r="R37" s="26">
        <f t="shared" ref="R37:X37" si="48">+R36-R33</f>
        <v>369834000</v>
      </c>
      <c r="S37" s="26">
        <f t="shared" si="48"/>
        <v>2019821000</v>
      </c>
      <c r="T37" s="26">
        <f t="shared" si="48"/>
        <v>2917963000</v>
      </c>
      <c r="U37" s="26">
        <f t="shared" si="48"/>
        <v>5589396000</v>
      </c>
      <c r="V37" s="26">
        <f t="shared" si="48"/>
        <v>5738272000</v>
      </c>
      <c r="W37" s="26">
        <f t="shared" si="48"/>
        <v>7155560000</v>
      </c>
    </row>
    <row r="38" spans="1:25" ht="15.75">
      <c r="A38" s="8" t="s">
        <v>50</v>
      </c>
      <c r="B38" s="33">
        <v>13067705000</v>
      </c>
      <c r="C38" s="33">
        <v>12143011000</v>
      </c>
      <c r="D38" s="33">
        <v>12049434000</v>
      </c>
      <c r="E38" s="33">
        <v>11601925000</v>
      </c>
      <c r="F38" s="33">
        <v>11736187000</v>
      </c>
      <c r="G38" s="33">
        <v>11891300000</v>
      </c>
      <c r="H38" s="33">
        <v>12165425000</v>
      </c>
      <c r="I38" s="33">
        <v>12572624000</v>
      </c>
      <c r="J38" s="33">
        <v>12481360000</v>
      </c>
      <c r="K38" s="33">
        <v>13001336000</v>
      </c>
      <c r="L38" s="33">
        <v>16480619000</v>
      </c>
      <c r="M38" s="33">
        <v>16448370000</v>
      </c>
      <c r="N38" s="33">
        <v>18761760000</v>
      </c>
      <c r="O38" s="33">
        <v>21168946000</v>
      </c>
      <c r="P38" s="33">
        <v>21657965000</v>
      </c>
      <c r="Q38" s="33">
        <v>20778032000</v>
      </c>
      <c r="R38" s="33">
        <v>27819948000</v>
      </c>
      <c r="S38" s="33">
        <v>29853051000</v>
      </c>
      <c r="T38" s="33">
        <v>32398575000</v>
      </c>
      <c r="U38" s="33">
        <v>33378717000</v>
      </c>
      <c r="V38" s="33">
        <v>33751300000</v>
      </c>
      <c r="W38" s="33">
        <v>31555629000</v>
      </c>
    </row>
    <row r="39" spans="1:25">
      <c r="B39" s="14"/>
      <c r="C39" s="14"/>
      <c r="D39" s="14"/>
      <c r="E39" s="14"/>
      <c r="F39" s="14"/>
      <c r="G39" s="14"/>
    </row>
    <row r="42" spans="1:25">
      <c r="B42" s="40"/>
      <c r="C42" s="40"/>
      <c r="D42" s="40"/>
      <c r="E42" s="40"/>
      <c r="F42" s="40"/>
      <c r="G42" s="40"/>
      <c r="H42" s="40"/>
      <c r="I42" s="40"/>
      <c r="J42" s="40"/>
      <c r="K42" s="40"/>
      <c r="L42" s="40"/>
      <c r="M42" s="40"/>
      <c r="N42" s="40"/>
      <c r="O42" s="40"/>
      <c r="P42" s="40"/>
      <c r="Q42" s="40"/>
      <c r="R42" s="41"/>
      <c r="S42" s="41"/>
      <c r="T42" s="41"/>
      <c r="U42" s="41"/>
    </row>
    <row r="43" spans="1:25">
      <c r="B43" s="42"/>
      <c r="C43" s="42"/>
      <c r="D43" s="42"/>
      <c r="E43" s="42"/>
      <c r="F43" s="42"/>
      <c r="G43" s="42"/>
      <c r="H43" s="42"/>
      <c r="I43" s="42"/>
      <c r="J43" s="42"/>
      <c r="K43" s="42"/>
      <c r="L43" s="42"/>
      <c r="M43" s="42"/>
      <c r="N43" s="42"/>
      <c r="O43" s="42"/>
      <c r="P43" s="42"/>
      <c r="Q43" s="42"/>
      <c r="R43" s="42"/>
      <c r="S43" s="42"/>
      <c r="T43" s="42"/>
      <c r="U43" s="42"/>
    </row>
    <row r="45" spans="1:25">
      <c r="A45" s="3" t="s">
        <v>51</v>
      </c>
      <c r="B45" s="13">
        <v>960796423</v>
      </c>
      <c r="C45" s="13">
        <v>961970294</v>
      </c>
      <c r="D45" s="13">
        <v>966056725</v>
      </c>
      <c r="E45" s="13">
        <v>969939906</v>
      </c>
      <c r="F45" s="13">
        <v>969939906</v>
      </c>
      <c r="G45" s="13">
        <v>969939906</v>
      </c>
      <c r="H45" s="13">
        <v>969939906</v>
      </c>
      <c r="I45" s="13">
        <v>969974606</v>
      </c>
      <c r="J45" s="13">
        <v>972261110</v>
      </c>
      <c r="K45" s="13">
        <v>972261110</v>
      </c>
      <c r="L45" s="13">
        <v>1255047994</v>
      </c>
      <c r="M45" s="13">
        <v>1255047994</v>
      </c>
      <c r="N45" s="13">
        <v>1553679600</v>
      </c>
      <c r="O45" s="13">
        <v>1814879532</v>
      </c>
      <c r="P45" s="13">
        <v>1813077953</v>
      </c>
      <c r="Q45" s="13">
        <v>1811425646</v>
      </c>
      <c r="R45" s="13">
        <v>2493497510</v>
      </c>
      <c r="S45" s="13">
        <v>2457374369</v>
      </c>
      <c r="T45" s="13">
        <v>2437681329</v>
      </c>
      <c r="U45" s="13">
        <v>2421068027</v>
      </c>
      <c r="V45" s="13">
        <v>2420694057</v>
      </c>
      <c r="W45" s="13">
        <v>2432245350</v>
      </c>
    </row>
    <row r="46" spans="1:25">
      <c r="A46" s="3" t="s">
        <v>52</v>
      </c>
      <c r="B46" s="31">
        <v>12.05</v>
      </c>
      <c r="C46" s="31">
        <v>8.6999999999999993</v>
      </c>
      <c r="D46" s="31">
        <v>9.84</v>
      </c>
      <c r="E46" s="31">
        <v>10</v>
      </c>
      <c r="F46">
        <v>11.57</v>
      </c>
      <c r="G46">
        <v>11.43</v>
      </c>
      <c r="H46" s="31">
        <v>12.25</v>
      </c>
      <c r="I46">
        <v>12.11</v>
      </c>
      <c r="J46">
        <v>12.27</v>
      </c>
      <c r="K46">
        <v>12.23</v>
      </c>
      <c r="L46">
        <v>12.09</v>
      </c>
      <c r="M46">
        <v>12.21</v>
      </c>
      <c r="N46">
        <v>12.38</v>
      </c>
      <c r="O46">
        <v>12.23</v>
      </c>
      <c r="P46">
        <v>11.78</v>
      </c>
      <c r="Q46">
        <v>10.84</v>
      </c>
      <c r="R46">
        <v>12.27</v>
      </c>
      <c r="S46">
        <v>11.41</v>
      </c>
      <c r="T46">
        <v>9.77</v>
      </c>
      <c r="U46">
        <v>10.5</v>
      </c>
      <c r="V46">
        <v>10.8</v>
      </c>
      <c r="W46">
        <v>11.77</v>
      </c>
    </row>
    <row r="47" spans="1:25">
      <c r="A47" s="3" t="s">
        <v>53</v>
      </c>
      <c r="B47">
        <v>24.285299999999999</v>
      </c>
      <c r="C47">
        <v>23.1325</v>
      </c>
      <c r="D47">
        <v>22.3598</v>
      </c>
      <c r="E47">
        <v>19.935199999999998</v>
      </c>
      <c r="F47">
        <v>20.602499999999999</v>
      </c>
      <c r="G47">
        <v>19.8157</v>
      </c>
      <c r="H47">
        <v>20.497699999999998</v>
      </c>
      <c r="I47">
        <v>20.515699999999999</v>
      </c>
      <c r="J47">
        <v>19.863199999999999</v>
      </c>
      <c r="K47">
        <v>20.144300000000001</v>
      </c>
      <c r="L47">
        <v>20.192699999999999</v>
      </c>
      <c r="M47">
        <v>19.361499999999999</v>
      </c>
      <c r="N47">
        <v>18.0932</v>
      </c>
      <c r="O47">
        <v>17.1187</v>
      </c>
      <c r="P47">
        <v>17.619499999999999</v>
      </c>
      <c r="Q47">
        <v>16.8935</v>
      </c>
      <c r="R47">
        <v>16.678000000000001</v>
      </c>
      <c r="S47">
        <v>18.377300000000002</v>
      </c>
      <c r="T47">
        <v>19.669699999999999</v>
      </c>
      <c r="U47">
        <v>20.510300000000001</v>
      </c>
      <c r="V47">
        <v>20.400300000000001</v>
      </c>
      <c r="W47">
        <v>18.848299999999998</v>
      </c>
    </row>
    <row r="48" spans="1:25">
      <c r="A48" s="3" t="s">
        <v>54</v>
      </c>
      <c r="B48" s="43">
        <v>19.878808791208794</v>
      </c>
      <c r="C48" s="43">
        <v>23.365513186813185</v>
      </c>
      <c r="D48" s="43">
        <v>22.110946739130426</v>
      </c>
      <c r="E48" s="43">
        <v>20.631832608695657</v>
      </c>
      <c r="F48" s="43">
        <v>20.319934444444439</v>
      </c>
      <c r="G48" s="43">
        <v>20.049741758241762</v>
      </c>
      <c r="H48" s="43">
        <v>20.009429347826092</v>
      </c>
      <c r="I48" s="43">
        <v>20.746378260869573</v>
      </c>
      <c r="J48" s="43">
        <v>20.524218888888889</v>
      </c>
      <c r="K48" s="43">
        <v>20.042231868131875</v>
      </c>
      <c r="L48" s="43">
        <v>20.242231521739125</v>
      </c>
      <c r="M48" s="43">
        <v>19.699095652173913</v>
      </c>
      <c r="N48" s="43">
        <v>18.704144444444449</v>
      </c>
      <c r="O48" s="43">
        <v>17.723183516483516</v>
      </c>
      <c r="P48" s="43">
        <v>17.058149999999991</v>
      </c>
      <c r="Q48" s="43">
        <v>17.582582608695645</v>
      </c>
      <c r="R48" s="43">
        <v>16.995442857142862</v>
      </c>
      <c r="S48" s="43">
        <v>17.206147252747261</v>
      </c>
      <c r="T48" s="43">
        <v>18.915069565217401</v>
      </c>
      <c r="U48" s="43">
        <v>20.066600000000001</v>
      </c>
      <c r="V48" s="43">
        <v>20.4223</v>
      </c>
      <c r="W48" s="43">
        <v>19.544499999999999</v>
      </c>
    </row>
    <row r="49" spans="12:21">
      <c r="R49" s="49" t="s">
        <v>55</v>
      </c>
      <c r="S49" s="51"/>
      <c r="T49" s="49" t="s">
        <v>56</v>
      </c>
      <c r="U49" s="49" t="s">
        <v>57</v>
      </c>
    </row>
    <row r="50" spans="12:21" ht="15" customHeight="1">
      <c r="L50" s="50" t="s">
        <v>58</v>
      </c>
      <c r="M50" s="34"/>
      <c r="N50" s="49" t="s">
        <v>59</v>
      </c>
      <c r="O50" s="34"/>
      <c r="P50" s="34"/>
      <c r="Q50" s="34"/>
      <c r="R50" s="49"/>
      <c r="S50" s="51"/>
      <c r="T50" s="49"/>
      <c r="U50" s="49"/>
    </row>
    <row r="51" spans="12:21">
      <c r="L51" s="50"/>
      <c r="M51" s="34"/>
      <c r="N51" s="49"/>
      <c r="O51" s="34"/>
      <c r="P51" s="34"/>
      <c r="Q51" s="34"/>
      <c r="R51" s="49"/>
      <c r="S51" s="51"/>
      <c r="T51" s="49"/>
      <c r="U51" s="49"/>
    </row>
    <row r="52" spans="12:21">
      <c r="L52" s="50"/>
      <c r="M52" s="34"/>
      <c r="N52" s="49"/>
      <c r="O52" s="34"/>
      <c r="P52" s="34"/>
      <c r="Q52" s="34"/>
      <c r="R52" s="49"/>
      <c r="S52" s="51"/>
      <c r="T52" s="49"/>
      <c r="U52" s="49"/>
    </row>
    <row r="53" spans="12:21">
      <c r="L53" s="50"/>
      <c r="M53" s="34"/>
      <c r="N53" s="49"/>
      <c r="O53" s="34"/>
      <c r="P53" s="34"/>
      <c r="Q53" s="34"/>
      <c r="R53" s="49"/>
      <c r="S53" s="51"/>
      <c r="T53" s="49"/>
      <c r="U53" s="49"/>
    </row>
    <row r="54" spans="12:21">
      <c r="L54" s="50"/>
      <c r="M54" s="34"/>
      <c r="N54" s="49"/>
      <c r="O54" s="34"/>
      <c r="P54" s="34"/>
      <c r="Q54" s="34"/>
      <c r="R54" s="49"/>
      <c r="S54" s="51"/>
      <c r="T54" s="49"/>
      <c r="U54" s="49"/>
    </row>
    <row r="55" spans="12:21" ht="46.5" customHeight="1">
      <c r="L55" s="50"/>
      <c r="M55" s="34"/>
      <c r="N55" s="49"/>
      <c r="O55" s="34"/>
      <c r="P55" s="34"/>
      <c r="Q55" s="34"/>
      <c r="R55" s="49"/>
      <c r="S55" s="51"/>
      <c r="T55" s="49"/>
      <c r="U55" s="49"/>
    </row>
    <row r="56" spans="12:21">
      <c r="L56" s="50"/>
      <c r="M56" s="34"/>
      <c r="N56" s="49"/>
      <c r="O56" s="34"/>
      <c r="P56" s="34"/>
      <c r="Q56" s="34"/>
      <c r="R56" s="49"/>
      <c r="S56" s="51"/>
      <c r="T56" s="49"/>
      <c r="U56" s="49"/>
    </row>
    <row r="57" spans="12:21">
      <c r="N57" s="38"/>
      <c r="O57" s="34"/>
      <c r="P57" s="34"/>
      <c r="Q57" s="34"/>
      <c r="R57" s="49"/>
      <c r="S57" s="51"/>
      <c r="T57" s="49"/>
      <c r="U57" s="49"/>
    </row>
    <row r="58" spans="12:21">
      <c r="N58" s="38"/>
      <c r="O58" s="34"/>
      <c r="P58" s="34"/>
      <c r="Q58" s="34"/>
      <c r="R58" s="49"/>
      <c r="S58" s="51"/>
      <c r="T58" s="49"/>
      <c r="U58" s="49"/>
    </row>
    <row r="59" spans="12:21">
      <c r="N59" s="38"/>
      <c r="O59" s="34"/>
      <c r="P59" s="34"/>
      <c r="Q59" s="34"/>
      <c r="R59" s="49"/>
      <c r="S59" s="51"/>
      <c r="T59" s="49"/>
      <c r="U59" s="49"/>
    </row>
    <row r="60" spans="12:21">
      <c r="N60" s="38"/>
      <c r="O60" s="34"/>
      <c r="P60" s="34"/>
      <c r="Q60" s="34"/>
      <c r="R60" s="49"/>
      <c r="S60" s="51"/>
      <c r="T60" s="49"/>
      <c r="U60" s="49"/>
    </row>
    <row r="61" spans="12:21">
      <c r="N61" s="38"/>
      <c r="O61" s="34"/>
      <c r="P61" s="34"/>
      <c r="Q61" s="34"/>
      <c r="R61" s="49"/>
      <c r="S61" s="51"/>
      <c r="T61" s="49"/>
      <c r="U61" s="49"/>
    </row>
    <row r="62" spans="12:21">
      <c r="N62" s="38"/>
      <c r="O62" s="34"/>
      <c r="P62" s="34"/>
      <c r="Q62" s="34"/>
      <c r="R62" s="49"/>
      <c r="S62" s="51"/>
      <c r="T62" s="49"/>
      <c r="U62" s="49"/>
    </row>
    <row r="63" spans="12:21">
      <c r="N63" s="38"/>
      <c r="O63" s="34"/>
      <c r="P63" s="34"/>
      <c r="Q63" s="34"/>
      <c r="R63" s="39"/>
      <c r="S63" s="51"/>
      <c r="T63" s="49"/>
      <c r="U63" s="49"/>
    </row>
  </sheetData>
  <mergeCells count="7">
    <mergeCell ref="U49:U63"/>
    <mergeCell ref="T49:T63"/>
    <mergeCell ref="L50:L56"/>
    <mergeCell ref="S49:S63"/>
    <mergeCell ref="N50:N56"/>
    <mergeCell ref="R49:R55"/>
    <mergeCell ref="R56:R62"/>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65C3-D536-4791-BB18-7EE85B4FC38A}">
  <sheetPr codeName="Hoja1"/>
  <dimension ref="B3:T46"/>
  <sheetViews>
    <sheetView showGridLines="0" tabSelected="1" zoomScale="80" zoomScaleNormal="80" workbookViewId="0">
      <selection activeCell="L3" sqref="L3"/>
    </sheetView>
  </sheetViews>
  <sheetFormatPr defaultColWidth="11.7109375" defaultRowHeight="15"/>
  <cols>
    <col min="2" max="2" width="47" style="3" bestFit="1" customWidth="1"/>
    <col min="3" max="4" width="15" bestFit="1" customWidth="1"/>
    <col min="5" max="7" width="16" bestFit="1" customWidth="1"/>
    <col min="8" max="8" width="18.85546875" customWidth="1"/>
    <col min="9" max="12" width="16" bestFit="1" customWidth="1"/>
    <col min="13" max="20" width="12.7109375" bestFit="1" customWidth="1"/>
  </cols>
  <sheetData>
    <row r="3" spans="2:20" ht="15.75">
      <c r="C3" s="1">
        <v>42369</v>
      </c>
      <c r="D3" s="1">
        <f t="shared" ref="D3:E3" si="0">EOMONTH(C3,12)</f>
        <v>42735</v>
      </c>
      <c r="E3" s="1">
        <f t="shared" si="0"/>
        <v>43100</v>
      </c>
      <c r="F3" s="1">
        <f t="shared" ref="F3" si="1">EOMONTH(E3,12)</f>
        <v>43465</v>
      </c>
      <c r="G3" s="1">
        <f t="shared" ref="G3:I3" si="2">EOMONTH(F3,12)</f>
        <v>43830</v>
      </c>
      <c r="H3" s="1">
        <f t="shared" si="2"/>
        <v>44196</v>
      </c>
      <c r="I3" s="1">
        <f t="shared" si="2"/>
        <v>44561</v>
      </c>
      <c r="J3" s="1" t="s">
        <v>1</v>
      </c>
      <c r="K3" s="1" t="s">
        <v>60</v>
      </c>
      <c r="L3" s="1" t="s">
        <v>61</v>
      </c>
    </row>
    <row r="4" spans="2:20" ht="18.75">
      <c r="B4" s="6"/>
      <c r="C4" s="2">
        <f>+YEAR(C3)</f>
        <v>2015</v>
      </c>
      <c r="D4" s="2">
        <f t="shared" ref="D4:H4" si="3">+YEAR(D3)</f>
        <v>2016</v>
      </c>
      <c r="E4" s="2">
        <f t="shared" si="3"/>
        <v>2017</v>
      </c>
      <c r="F4" s="2">
        <f t="shared" si="3"/>
        <v>2018</v>
      </c>
      <c r="G4" s="2">
        <f t="shared" si="3"/>
        <v>2019</v>
      </c>
      <c r="H4" s="2">
        <f t="shared" si="3"/>
        <v>2020</v>
      </c>
      <c r="I4" s="2">
        <f t="shared" ref="I4" si="4">+YEAR(I3)</f>
        <v>2021</v>
      </c>
      <c r="J4" s="2">
        <v>2022</v>
      </c>
      <c r="K4" s="2">
        <v>2023</v>
      </c>
      <c r="L4" s="2">
        <v>2024</v>
      </c>
    </row>
    <row r="5" spans="2:20" ht="15.75">
      <c r="B5" s="4" t="s">
        <v>24</v>
      </c>
      <c r="C5" s="7">
        <v>220287</v>
      </c>
      <c r="D5" s="7">
        <v>406264</v>
      </c>
      <c r="E5" s="7">
        <v>504534</v>
      </c>
      <c r="F5" s="7">
        <v>661084</v>
      </c>
      <c r="G5" s="7">
        <v>699928</v>
      </c>
      <c r="H5" s="7">
        <v>713925</v>
      </c>
      <c r="I5" s="14">
        <v>818864</v>
      </c>
      <c r="J5" s="14">
        <v>818864</v>
      </c>
      <c r="K5" s="14">
        <v>1652673</v>
      </c>
      <c r="L5" s="14">
        <v>1871530</v>
      </c>
    </row>
    <row r="6" spans="2:20" ht="15.75">
      <c r="B6" s="4" t="s">
        <v>25</v>
      </c>
      <c r="C6" s="12">
        <f>+C5*10.7639</f>
        <v>2371147.2393</v>
      </c>
      <c r="D6" s="12">
        <f t="shared" ref="D6" si="5">+D5*10.7639</f>
        <v>4372985.0696</v>
      </c>
      <c r="E6" s="12">
        <f t="shared" ref="E6" si="6">+E5*10.7639</f>
        <v>5430753.5225999998</v>
      </c>
      <c r="F6" s="12">
        <f t="shared" ref="F6" si="7">+F5*10.7639</f>
        <v>7115842.0675999997</v>
      </c>
      <c r="G6" s="12">
        <f t="shared" ref="G6" si="8">+G5*10.7639</f>
        <v>7533954.9991999995</v>
      </c>
      <c r="H6" s="12">
        <f t="shared" ref="H6:I6" si="9">+H5*10.7639</f>
        <v>7684617.3075000001</v>
      </c>
      <c r="I6" s="12">
        <f t="shared" si="9"/>
        <v>8814170.2095999997</v>
      </c>
      <c r="J6" s="12">
        <f t="shared" ref="J6:K6" si="10">+J5*10.7639</f>
        <v>8814170.2095999997</v>
      </c>
      <c r="K6" s="26">
        <f t="shared" si="10"/>
        <v>17789206.9047</v>
      </c>
      <c r="L6" s="26">
        <f>+L5*10.7639</f>
        <v>20144961.767000001</v>
      </c>
    </row>
    <row r="7" spans="2:20" ht="15.75">
      <c r="B7" s="8" t="s">
        <v>62</v>
      </c>
      <c r="C7" s="9">
        <v>0.97899999999999998</v>
      </c>
      <c r="D7" s="9">
        <v>0.97799999999999998</v>
      </c>
      <c r="E7" s="9">
        <v>0.96599999999999997</v>
      </c>
      <c r="F7" s="9">
        <v>0.97</v>
      </c>
      <c r="G7" s="9">
        <v>0.96599999999999997</v>
      </c>
      <c r="H7" s="16">
        <v>0.94399999999999995</v>
      </c>
      <c r="I7" s="16">
        <v>0.92200000000000004</v>
      </c>
      <c r="J7" s="16">
        <v>0.90900000000000003</v>
      </c>
      <c r="K7" s="16">
        <v>0.96299999999999997</v>
      </c>
      <c r="L7" s="16">
        <v>0.96199999999999997</v>
      </c>
    </row>
    <row r="8" spans="2:20">
      <c r="C8" s="7"/>
      <c r="D8" s="7"/>
      <c r="E8" s="7"/>
      <c r="F8" s="7"/>
      <c r="G8" s="7"/>
      <c r="H8" s="14"/>
    </row>
    <row r="9" spans="2:20" ht="15.75">
      <c r="B9" s="4" t="s">
        <v>27</v>
      </c>
      <c r="C9" s="14">
        <v>352482000</v>
      </c>
      <c r="D9" s="14">
        <v>598556000</v>
      </c>
      <c r="E9" s="14">
        <v>832071000</v>
      </c>
      <c r="F9" s="14">
        <v>945824000</v>
      </c>
      <c r="G9" s="14">
        <v>1211637000</v>
      </c>
      <c r="H9" s="45">
        <f>SUM(Trimestral!B9:E9)</f>
        <v>1346962000</v>
      </c>
      <c r="I9" s="14">
        <f>SUM(Trimestral!F9:I9)</f>
        <v>1311622000</v>
      </c>
      <c r="J9" s="14">
        <f>SUM(Trimestral!J9:M9)</f>
        <v>1501193000</v>
      </c>
      <c r="K9" s="14">
        <f>SUM(Trimestral!N9:Q9)</f>
        <v>2152230000</v>
      </c>
      <c r="L9" s="14">
        <f>+SUM(Trimestral!R9:U9)</f>
        <v>2733241000</v>
      </c>
    </row>
    <row r="10" spans="2:20" ht="15.75">
      <c r="B10" s="4" t="s">
        <v>28</v>
      </c>
      <c r="C10" s="14">
        <v>305039000</v>
      </c>
      <c r="D10" s="14">
        <v>529446000</v>
      </c>
      <c r="E10" s="14">
        <v>725138000</v>
      </c>
      <c r="F10" s="14">
        <v>834929000</v>
      </c>
      <c r="G10" s="14">
        <v>1092692000</v>
      </c>
      <c r="H10" s="45">
        <f>SUM(Trimestral!B10:E10)</f>
        <v>1227884000</v>
      </c>
      <c r="I10" s="14">
        <f>SUM(Trimestral!F10:I10)</f>
        <v>1180286000</v>
      </c>
      <c r="J10" s="14">
        <f>SUM(Trimestral!J10:M10)</f>
        <v>1325424000</v>
      </c>
      <c r="K10" s="14">
        <f>SUM(Trimestral!N10:Q10)</f>
        <v>1947452000</v>
      </c>
      <c r="L10" s="14">
        <f>+SUM(Trimestral!R10:U10)</f>
        <v>2476490000</v>
      </c>
    </row>
    <row r="11" spans="2:20" ht="15.75">
      <c r="B11" s="5" t="s">
        <v>29</v>
      </c>
      <c r="C11" s="15">
        <f t="shared" ref="C11:E11" si="11">+C10/C9</f>
        <v>0.86540305604257806</v>
      </c>
      <c r="D11" s="15">
        <f t="shared" si="11"/>
        <v>0.88453879002131797</v>
      </c>
      <c r="E11" s="15">
        <f t="shared" si="11"/>
        <v>0.87148572657862133</v>
      </c>
      <c r="F11" s="15">
        <f t="shared" ref="F11:K11" si="12">+F10/F9</f>
        <v>0.88275302804750144</v>
      </c>
      <c r="G11" s="15">
        <f t="shared" si="12"/>
        <v>0.90183115900224242</v>
      </c>
      <c r="H11" s="15">
        <f t="shared" si="12"/>
        <v>0.91159513037487327</v>
      </c>
      <c r="I11" s="15">
        <f t="shared" si="12"/>
        <v>0.8998674923110469</v>
      </c>
      <c r="J11" s="15">
        <f t="shared" si="12"/>
        <v>0.88291378923296338</v>
      </c>
      <c r="K11" s="15">
        <f t="shared" si="12"/>
        <v>0.90485310584835266</v>
      </c>
      <c r="L11" s="15">
        <f t="shared" ref="L11" si="13">+L10/L9</f>
        <v>0.90606353409743234</v>
      </c>
      <c r="M11" s="17"/>
      <c r="N11" s="17"/>
      <c r="O11" s="17"/>
      <c r="P11" s="17"/>
      <c r="Q11" s="17"/>
      <c r="R11" s="17"/>
      <c r="S11" s="17"/>
      <c r="T11" s="17"/>
    </row>
    <row r="12" spans="2:20">
      <c r="C12" s="29"/>
      <c r="D12" s="29"/>
      <c r="E12" s="29"/>
      <c r="F12" s="29"/>
      <c r="G12" s="29"/>
      <c r="H12" s="14"/>
    </row>
    <row r="13" spans="2:20" ht="15.75">
      <c r="B13" s="4" t="s">
        <v>30</v>
      </c>
      <c r="C13" s="14">
        <v>255660000</v>
      </c>
      <c r="D13" s="14">
        <v>463914000</v>
      </c>
      <c r="E13" s="14">
        <v>649839000</v>
      </c>
      <c r="F13" s="14">
        <v>745239000</v>
      </c>
      <c r="G13" s="14">
        <v>987815000</v>
      </c>
      <c r="H13" s="45">
        <f>SUM(Trimestral!B13:E13)</f>
        <v>1119209000</v>
      </c>
      <c r="I13" s="14">
        <f>SUM(Trimestral!F13:I13)</f>
        <v>1057694000</v>
      </c>
      <c r="J13" s="14">
        <f>SUM(Trimestral!J13:M13)</f>
        <v>1192952000</v>
      </c>
      <c r="K13" s="14">
        <f>SUM(Trimestral!N13:Q13)</f>
        <v>1785661000</v>
      </c>
      <c r="L13" s="14">
        <f>+SUM(Trimestral!R13:U13)</f>
        <v>2284745000</v>
      </c>
    </row>
    <row r="14" spans="2:20" ht="15.75">
      <c r="B14" s="4" t="s">
        <v>31</v>
      </c>
      <c r="C14" s="15">
        <f>+C13/C9</f>
        <v>0.72531363303658059</v>
      </c>
      <c r="D14" s="15">
        <f>+D13/D9</f>
        <v>0.77505529975474308</v>
      </c>
      <c r="E14" s="15">
        <f t="shared" ref="E14:J14" si="14">+E13/E9</f>
        <v>0.78098984341480471</v>
      </c>
      <c r="F14" s="15">
        <f t="shared" si="14"/>
        <v>0.78792566058801639</v>
      </c>
      <c r="G14" s="15">
        <f t="shared" si="14"/>
        <v>0.81527305620412716</v>
      </c>
      <c r="H14" s="15">
        <f t="shared" si="14"/>
        <v>0.83091356697516339</v>
      </c>
      <c r="I14" s="15">
        <f t="shared" si="14"/>
        <v>0.80640153946792592</v>
      </c>
      <c r="J14" s="15">
        <f t="shared" si="14"/>
        <v>0.79466930634502031</v>
      </c>
      <c r="K14" s="15">
        <f t="shared" ref="K14:L14" si="15">+K13/K9</f>
        <v>0.82967944875780009</v>
      </c>
      <c r="L14" s="15">
        <f t="shared" si="15"/>
        <v>0.83591055453946428</v>
      </c>
      <c r="M14" s="15"/>
      <c r="N14" s="15"/>
      <c r="O14" s="15"/>
      <c r="P14" s="15"/>
      <c r="Q14" s="15"/>
      <c r="R14" s="15"/>
      <c r="S14" s="15"/>
      <c r="T14" s="15"/>
    </row>
    <row r="15" spans="2:20">
      <c r="C15" s="14"/>
      <c r="D15" s="14"/>
      <c r="E15" s="14"/>
      <c r="F15" s="14"/>
      <c r="G15" s="14"/>
      <c r="H15" s="14"/>
    </row>
    <row r="16" spans="2:20" ht="15.75">
      <c r="B16" s="4" t="s">
        <v>32</v>
      </c>
      <c r="C16" s="14">
        <v>257928000</v>
      </c>
      <c r="D16" s="14">
        <v>425293000</v>
      </c>
      <c r="E16" s="14">
        <v>589947000</v>
      </c>
      <c r="F16" s="14">
        <v>712261000</v>
      </c>
      <c r="G16" s="14">
        <v>816661000</v>
      </c>
      <c r="H16" s="45">
        <f>SUM(Trimestral!B16:E16)</f>
        <v>1052516000</v>
      </c>
      <c r="I16" s="14">
        <f>SUM(Trimestral!F16:I16)</f>
        <v>917765000</v>
      </c>
      <c r="J16" s="14">
        <f>SUM(Trimestral!J16:M16)</f>
        <v>1110074000</v>
      </c>
      <c r="K16" s="14">
        <f>SUM(Trimestral!N16:Q16)</f>
        <v>1627600000</v>
      </c>
      <c r="L16" s="14">
        <f>+SUM(Trimestral!R16:U16)</f>
        <v>2416938000</v>
      </c>
    </row>
    <row r="17" spans="2:12" ht="15.75">
      <c r="B17" s="5" t="s">
        <v>33</v>
      </c>
      <c r="C17" s="20">
        <v>0.85499999999999998</v>
      </c>
      <c r="D17" s="20">
        <v>1.0085988521739</v>
      </c>
      <c r="E17" s="20">
        <v>1.0709073866427943</v>
      </c>
      <c r="F17" s="20">
        <v>1.1188329916426487</v>
      </c>
      <c r="G17" s="20">
        <v>1.1839999999999999</v>
      </c>
      <c r="H17" s="20">
        <f>SUM(Trimestral!B17:E17)</f>
        <v>1.0911772014596064</v>
      </c>
      <c r="I17" s="23">
        <f>SUM(Trimestral!F17:I17)</f>
        <v>0.94619924335535432</v>
      </c>
      <c r="J17" s="23">
        <f>SUM(Trimestral!J17:M17)</f>
        <v>1.049210858605921</v>
      </c>
      <c r="K17" s="23">
        <f>SUM(Trimestral!N17:Q17)</f>
        <v>0.96286389114724735</v>
      </c>
      <c r="L17" s="23">
        <f>+SUM(Trimestral!R17:U17)</f>
        <v>1.0309999999999999</v>
      </c>
    </row>
    <row r="18" spans="2:12" ht="15.75">
      <c r="B18" s="4" t="s">
        <v>34</v>
      </c>
      <c r="C18" s="17">
        <f t="shared" ref="C18:E18" si="16">+C16/C9</f>
        <v>0.73174800415340358</v>
      </c>
      <c r="D18" s="17">
        <f t="shared" si="16"/>
        <v>0.71053167957551178</v>
      </c>
      <c r="E18" s="17">
        <f t="shared" si="16"/>
        <v>0.709010408967504</v>
      </c>
      <c r="F18" s="17">
        <f t="shared" ref="F18:K18" si="17">+F16/F9</f>
        <v>0.75305870859694823</v>
      </c>
      <c r="G18" s="17">
        <f t="shared" si="17"/>
        <v>0.67401457697313638</v>
      </c>
      <c r="H18" s="17">
        <f t="shared" si="17"/>
        <v>0.78139992071045805</v>
      </c>
      <c r="I18" s="17">
        <f t="shared" si="17"/>
        <v>0.69971760156508511</v>
      </c>
      <c r="J18" s="17">
        <f t="shared" si="17"/>
        <v>0.73946121518019337</v>
      </c>
      <c r="K18" s="17">
        <f t="shared" si="17"/>
        <v>0.75623887781510335</v>
      </c>
      <c r="L18" s="17">
        <f t="shared" ref="L18" si="18">+L16/L9</f>
        <v>0.88427548101320008</v>
      </c>
    </row>
    <row r="19" spans="2:12" ht="15.75">
      <c r="B19" s="4" t="s">
        <v>35</v>
      </c>
      <c r="C19" s="22">
        <f t="shared" ref="C19:L19" si="19">+C17/C45</f>
        <v>7.0081967213114757E-2</v>
      </c>
      <c r="D19" s="22">
        <f t="shared" si="19"/>
        <v>7.8185957532860464E-2</v>
      </c>
      <c r="E19" s="22">
        <f t="shared" si="19"/>
        <v>9.0371931362261126E-2</v>
      </c>
      <c r="F19" s="22">
        <f t="shared" si="19"/>
        <v>8.8796269177987996E-2</v>
      </c>
      <c r="G19" s="22">
        <f t="shared" si="19"/>
        <v>9.9245599329421619E-2</v>
      </c>
      <c r="H19" s="22">
        <f t="shared" si="19"/>
        <v>9.0554124602456959E-2</v>
      </c>
      <c r="I19" s="22">
        <f t="shared" si="19"/>
        <v>8.178040132716978E-2</v>
      </c>
      <c r="J19" s="22">
        <f t="shared" si="19"/>
        <v>8.5510257425095437E-2</v>
      </c>
      <c r="K19" s="22">
        <f t="shared" si="19"/>
        <v>7.7775758574091053E-2</v>
      </c>
      <c r="L19" s="22">
        <f t="shared" si="19"/>
        <v>8.4026079869600645E-2</v>
      </c>
    </row>
    <row r="20" spans="2:12">
      <c r="C20" s="14"/>
      <c r="D20" s="14"/>
      <c r="E20" s="14"/>
      <c r="F20" s="14"/>
      <c r="G20" s="14"/>
      <c r="H20" s="14"/>
    </row>
    <row r="21" spans="2:12" ht="15.75">
      <c r="B21" s="4" t="s">
        <v>36</v>
      </c>
      <c r="C21" s="14">
        <v>246376000</v>
      </c>
      <c r="D21" s="14">
        <v>410055000</v>
      </c>
      <c r="E21" s="14">
        <v>569260000</v>
      </c>
      <c r="F21" s="14">
        <v>680289000</v>
      </c>
      <c r="G21" s="14">
        <v>770403000</v>
      </c>
      <c r="H21" s="45">
        <f>SUM(Trimestral!B21:E21)</f>
        <v>1012678000</v>
      </c>
      <c r="I21" s="14">
        <f>SUM(Trimestral!F21:I21)</f>
        <v>868320000</v>
      </c>
      <c r="J21" s="14">
        <f>SUM(Trimestral!J21:M21)</f>
        <v>1119828000</v>
      </c>
      <c r="K21" s="14">
        <f>SUM(Trimestral!N21:Q21)</f>
        <v>1586223000</v>
      </c>
      <c r="L21" s="14">
        <f>+SUM(Trimestral!R21:U21)</f>
        <v>2372241000</v>
      </c>
    </row>
    <row r="22" spans="2:12" ht="15.75">
      <c r="B22" s="5" t="s">
        <v>37</v>
      </c>
      <c r="C22" s="20">
        <v>0.81710196651606293</v>
      </c>
      <c r="D22" s="20">
        <v>0.96799999999999997</v>
      </c>
      <c r="E22" s="20">
        <v>1.033296968381936</v>
      </c>
      <c r="F22" s="20">
        <v>1.06843051611673</v>
      </c>
      <c r="G22" s="20">
        <v>1.1180932978654052</v>
      </c>
      <c r="H22" s="20">
        <f>SUM(Trimestral!B22:E22)</f>
        <v>1.0498173553338108</v>
      </c>
      <c r="I22" s="23">
        <f>SUM(Trimestral!F22:I22)</f>
        <v>0.89522196853987057</v>
      </c>
      <c r="J22" s="23">
        <f>SUM(Trimestral!J22:M22)</f>
        <v>1.0045845847112882</v>
      </c>
      <c r="K22" s="23">
        <f>SUM(Trimestral!N22:Q22)</f>
        <v>0.93959172860056184</v>
      </c>
      <c r="L22" s="23">
        <f>+SUM(Trimestral!R22:U22)</f>
        <v>1.0110008192961795</v>
      </c>
    </row>
    <row r="23" spans="2:12" ht="15.75">
      <c r="B23" s="4" t="s">
        <v>38</v>
      </c>
      <c r="C23" s="17">
        <f t="shared" ref="C23:H23" si="20">+C21/C9</f>
        <v>0.69897469941727519</v>
      </c>
      <c r="D23" s="17">
        <f t="shared" si="20"/>
        <v>0.68507374414424049</v>
      </c>
      <c r="E23" s="17">
        <f t="shared" si="20"/>
        <v>0.68414834791742529</v>
      </c>
      <c r="F23" s="17">
        <f t="shared" si="20"/>
        <v>0.71925537943634332</v>
      </c>
      <c r="G23" s="17">
        <f t="shared" si="20"/>
        <v>0.63583647577616065</v>
      </c>
      <c r="H23" s="17">
        <f t="shared" si="20"/>
        <v>0.75182373370592492</v>
      </c>
      <c r="I23" s="17">
        <f t="shared" ref="I23:J23" si="21">+I21/I9</f>
        <v>0.66202000271419659</v>
      </c>
      <c r="J23" s="17">
        <f t="shared" si="21"/>
        <v>0.74595871416933068</v>
      </c>
      <c r="K23" s="17">
        <f t="shared" ref="K23:L23" si="22">+K21/K9</f>
        <v>0.73701370206715822</v>
      </c>
      <c r="L23" s="17">
        <f t="shared" si="22"/>
        <v>0.86792236762144281</v>
      </c>
    </row>
    <row r="24" spans="2:12" ht="15.75">
      <c r="B24" s="8" t="s">
        <v>39</v>
      </c>
      <c r="C24" s="18">
        <f t="shared" ref="C24:L24" si="23">+C22/C45</f>
        <v>6.6975571025906802E-2</v>
      </c>
      <c r="D24" s="18">
        <f t="shared" si="23"/>
        <v>7.5038759689922477E-2</v>
      </c>
      <c r="E24" s="18">
        <f t="shared" si="23"/>
        <v>8.7198056403538907E-2</v>
      </c>
      <c r="F24" s="18">
        <f t="shared" si="23"/>
        <v>8.4796072707676987E-2</v>
      </c>
      <c r="G24" s="18">
        <f t="shared" si="23"/>
        <v>9.372114818653858E-2</v>
      </c>
      <c r="H24" s="18">
        <f t="shared" si="23"/>
        <v>8.7121772226872257E-2</v>
      </c>
      <c r="I24" s="18">
        <f t="shared" si="23"/>
        <v>7.7374413875529E-2</v>
      </c>
      <c r="J24" s="18">
        <f t="shared" si="23"/>
        <v>8.1873234287798552E-2</v>
      </c>
      <c r="K24" s="18">
        <f t="shared" si="23"/>
        <v>7.5895939305376553E-2</v>
      </c>
      <c r="L24" s="18">
        <f t="shared" si="23"/>
        <v>8.239615479186467E-2</v>
      </c>
    </row>
    <row r="25" spans="2:12">
      <c r="C25" s="14"/>
      <c r="D25" s="14"/>
      <c r="E25" s="14"/>
      <c r="F25" s="14"/>
      <c r="G25" s="14"/>
      <c r="H25" s="14"/>
    </row>
    <row r="26" spans="2:12" ht="15.75">
      <c r="B26" s="5" t="s">
        <v>40</v>
      </c>
      <c r="C26" s="23">
        <f>C22</f>
        <v>0.81710196651606293</v>
      </c>
      <c r="D26" s="23">
        <f>D29</f>
        <v>0.96110419694044025</v>
      </c>
      <c r="E26" s="23">
        <f t="shared" ref="E26:G26" si="24">E22</f>
        <v>1.033296968381936</v>
      </c>
      <c r="F26" s="23">
        <f t="shared" si="24"/>
        <v>1.06843051611673</v>
      </c>
      <c r="G26" s="23">
        <f t="shared" si="24"/>
        <v>1.1180932978654052</v>
      </c>
      <c r="H26" s="20">
        <v>1.0489999999999999</v>
      </c>
      <c r="I26" s="23">
        <f>SUM(Trimestral!F26:I26)</f>
        <v>0.89522196853987057</v>
      </c>
      <c r="J26" s="23">
        <f>SUM(Trimestral!J26:M26)</f>
        <v>1.0045845847112882</v>
      </c>
      <c r="K26" s="23">
        <f>SUM(Trimestral!N26:Q26)</f>
        <v>0.93959172860056184</v>
      </c>
      <c r="L26" s="23">
        <f>+SUM(Trimestral!R26:U26)</f>
        <v>0.96899999999999997</v>
      </c>
    </row>
    <row r="27" spans="2:12">
      <c r="C27" s="14"/>
      <c r="D27" s="14"/>
      <c r="E27" s="14"/>
      <c r="F27" s="14"/>
      <c r="G27" s="14"/>
      <c r="H27" s="14"/>
    </row>
    <row r="28" spans="2:12" ht="15.75">
      <c r="B28" s="5" t="s">
        <v>41</v>
      </c>
      <c r="C28" s="19">
        <v>246376198.76999998</v>
      </c>
      <c r="D28" s="19">
        <v>407660698</v>
      </c>
      <c r="E28" s="19">
        <v>569260000</v>
      </c>
      <c r="F28" s="19">
        <v>680289000</v>
      </c>
      <c r="G28" s="19">
        <v>770403000</v>
      </c>
      <c r="H28" s="45">
        <f>SUM(Trimestral!B28:E28)</f>
        <v>1012678000</v>
      </c>
      <c r="I28" s="14">
        <f>SUM(Trimestral!F28:I28)</f>
        <v>868320000</v>
      </c>
      <c r="J28" s="14">
        <f>SUM(Trimestral!J28:M28)</f>
        <v>1119828000</v>
      </c>
      <c r="K28" s="14">
        <f>SUM(Trimestral!N28:Q28)</f>
        <v>1586222772</v>
      </c>
      <c r="L28" s="14">
        <f>+SUM(Trimestral!R28:U28)</f>
        <v>2270128000</v>
      </c>
    </row>
    <row r="29" spans="2:12" ht="15.75">
      <c r="B29" s="5" t="s">
        <v>42</v>
      </c>
      <c r="C29" s="48">
        <f>+C22</f>
        <v>0.81710196651606293</v>
      </c>
      <c r="D29" s="48">
        <v>0.96110419694044025</v>
      </c>
      <c r="E29" s="48">
        <f>+E22</f>
        <v>1.033296968381936</v>
      </c>
      <c r="F29" s="48">
        <f>+F22</f>
        <v>1.06843051611673</v>
      </c>
      <c r="G29" s="48">
        <f>+G22</f>
        <v>1.1180932978654052</v>
      </c>
      <c r="H29" s="46">
        <f>SUM(Trimestral!B29:E29)</f>
        <v>1.0489062065890526</v>
      </c>
      <c r="I29" s="47">
        <f>SUM(Trimestral!F29:I29)</f>
        <v>0.89479131241724574</v>
      </c>
      <c r="J29" s="47">
        <f>SUM(Trimestral!J29:M29)</f>
        <v>1.0045847672978485</v>
      </c>
      <c r="K29" s="47">
        <f>SUM(Trimestral!N29:Q29)</f>
        <v>0.93952999999999998</v>
      </c>
      <c r="L29" s="23">
        <f>+SUM(Trimestral!R29:U29)</f>
        <v>0.97243476299923859</v>
      </c>
    </row>
    <row r="30" spans="2:12" ht="15.75">
      <c r="B30" s="10" t="s">
        <v>44</v>
      </c>
      <c r="C30" s="18">
        <f t="shared" ref="C30:J30" si="25">+C29/C45</f>
        <v>6.6975571025906802E-2</v>
      </c>
      <c r="D30" s="18">
        <f>+D29/D45</f>
        <v>7.450420131321242E-2</v>
      </c>
      <c r="E30" s="18">
        <f t="shared" si="25"/>
        <v>8.7198056403538907E-2</v>
      </c>
      <c r="F30" s="18">
        <f t="shared" si="25"/>
        <v>8.4796072707676987E-2</v>
      </c>
      <c r="G30" s="18">
        <f t="shared" si="25"/>
        <v>9.372114818653858E-2</v>
      </c>
      <c r="H30" s="18">
        <f t="shared" si="25"/>
        <v>8.7046158223157893E-2</v>
      </c>
      <c r="I30" s="18">
        <f t="shared" si="25"/>
        <v>7.7337192084463768E-2</v>
      </c>
      <c r="J30" s="18">
        <f t="shared" si="25"/>
        <v>8.1873249168528811E-2</v>
      </c>
      <c r="K30" s="18">
        <f t="shared" ref="K30:L30" si="26">+K29/K45</f>
        <v>7.5890953150242316E-2</v>
      </c>
      <c r="L30" s="18">
        <f t="shared" si="26"/>
        <v>7.9253036919253353E-2</v>
      </c>
    </row>
    <row r="31" spans="2:12">
      <c r="C31" s="21"/>
      <c r="D31" s="21"/>
      <c r="E31" s="21"/>
      <c r="F31" s="21"/>
      <c r="G31" s="21"/>
      <c r="H31" s="21"/>
    </row>
    <row r="32" spans="2:12" ht="15.75">
      <c r="B32" s="4" t="s">
        <v>45</v>
      </c>
      <c r="C32" s="7">
        <v>278632000</v>
      </c>
      <c r="D32" s="7">
        <v>396808000</v>
      </c>
      <c r="E32" s="7">
        <v>1568703000</v>
      </c>
      <c r="F32" s="7">
        <v>609031000</v>
      </c>
      <c r="G32" s="7">
        <v>3743548000</v>
      </c>
      <c r="H32" s="7">
        <f>Trimestral!E33</f>
        <v>2367798000</v>
      </c>
      <c r="I32" s="14">
        <f>Trimestral!I33</f>
        <v>1059608000</v>
      </c>
      <c r="J32" s="14">
        <f>Trimestral!M33</f>
        <v>4277140000</v>
      </c>
      <c r="K32" s="14">
        <f>Trimestral!Q33</f>
        <v>1038859000</v>
      </c>
      <c r="L32" s="14">
        <f>+Trimestral!U33</f>
        <v>6198210000</v>
      </c>
    </row>
    <row r="33" spans="2:12" ht="15.75">
      <c r="B33" s="4" t="s">
        <v>46</v>
      </c>
      <c r="C33" s="7">
        <v>4537061000</v>
      </c>
      <c r="D33" s="7">
        <v>7995134000</v>
      </c>
      <c r="E33" s="7">
        <v>9607238000</v>
      </c>
      <c r="F33" s="7">
        <v>13247281000</v>
      </c>
      <c r="G33" s="7">
        <v>13734998000</v>
      </c>
      <c r="H33" s="7">
        <f>Trimestral!E34</f>
        <v>13666591000</v>
      </c>
      <c r="I33" s="14">
        <f>Trimestral!I34</f>
        <v>17352991000</v>
      </c>
      <c r="J33" s="14">
        <f>Trimestral!M34</f>
        <v>17639279000</v>
      </c>
      <c r="K33" s="14">
        <f>Trimestral!Q34</f>
        <v>27265219000</v>
      </c>
      <c r="L33" s="14">
        <f>+Trimestral!U34</f>
        <v>38115359000</v>
      </c>
    </row>
    <row r="34" spans="2:12" ht="15.75">
      <c r="B34" s="4" t="s">
        <v>47</v>
      </c>
      <c r="C34" s="7">
        <v>4918734000</v>
      </c>
      <c r="D34" s="7">
        <v>8653501000</v>
      </c>
      <c r="E34" s="7">
        <v>11306957000</v>
      </c>
      <c r="F34" s="7">
        <v>14361695000</v>
      </c>
      <c r="G34" s="7">
        <v>17696683000</v>
      </c>
      <c r="H34" s="7">
        <f>Trimestral!E35</f>
        <v>16181141000</v>
      </c>
      <c r="I34" s="14">
        <f>Trimestral!I35</f>
        <v>18808265000</v>
      </c>
      <c r="J34" s="14">
        <f>Trimestral!M35</f>
        <v>22215849000</v>
      </c>
      <c r="K34" s="14">
        <f>Trimestral!Q35</f>
        <v>28991675000</v>
      </c>
      <c r="L34" s="14">
        <f>+Trimestral!U35</f>
        <v>46013334000</v>
      </c>
    </row>
    <row r="35" spans="2:12" ht="15.75">
      <c r="B35" s="4" t="s">
        <v>48</v>
      </c>
      <c r="C35" s="7">
        <f>637032000+89272000</f>
        <v>726304000</v>
      </c>
      <c r="D35" s="7">
        <f>(19586+1956298)*1000</f>
        <v>1975884000</v>
      </c>
      <c r="E35" s="7">
        <f>+(137047+2564583)*1000</f>
        <v>2701630000</v>
      </c>
      <c r="F35" s="7">
        <f>+(217312+168619+4836740)*1000</f>
        <v>5222671000</v>
      </c>
      <c r="G35" s="7">
        <f>(169842+4756794)*1000</f>
        <v>4926636000</v>
      </c>
      <c r="H35" s="7">
        <f>Trimestral!E36</f>
        <v>4135359000</v>
      </c>
      <c r="I35" s="14">
        <f>Trimestral!I36</f>
        <v>5470088000</v>
      </c>
      <c r="J35" s="14">
        <f>Trimestral!M36</f>
        <v>5158977000</v>
      </c>
      <c r="K35" s="14">
        <f>Trimestral!Q36</f>
        <v>7597339000</v>
      </c>
      <c r="L35" s="14">
        <f>+Trimestral!U36</f>
        <v>11787606000</v>
      </c>
    </row>
    <row r="36" spans="2:12" ht="15.75">
      <c r="B36" s="4" t="s">
        <v>49</v>
      </c>
      <c r="C36" s="26">
        <f t="shared" ref="C36:J36" si="27">+C35-C32</f>
        <v>447672000</v>
      </c>
      <c r="D36" s="26">
        <f t="shared" si="27"/>
        <v>1579076000</v>
      </c>
      <c r="E36" s="26">
        <f t="shared" si="27"/>
        <v>1132927000</v>
      </c>
      <c r="F36" s="26">
        <f t="shared" si="27"/>
        <v>4613640000</v>
      </c>
      <c r="G36" s="26">
        <f t="shared" si="27"/>
        <v>1183088000</v>
      </c>
      <c r="H36" s="26">
        <f t="shared" si="27"/>
        <v>1767561000</v>
      </c>
      <c r="I36" s="26">
        <f t="shared" si="27"/>
        <v>4410480000</v>
      </c>
      <c r="J36" s="26">
        <f t="shared" si="27"/>
        <v>881837000</v>
      </c>
      <c r="K36" s="26">
        <f t="shared" ref="K36:L36" si="28">+K35-K32</f>
        <v>6558480000</v>
      </c>
      <c r="L36" s="26">
        <f t="shared" si="28"/>
        <v>5589396000</v>
      </c>
    </row>
    <row r="37" spans="2:12" ht="15.75">
      <c r="B37" s="8" t="s">
        <v>50</v>
      </c>
      <c r="C37" s="11">
        <v>4114208000</v>
      </c>
      <c r="D37" s="11">
        <v>6569701000</v>
      </c>
      <c r="E37" s="11">
        <v>8470667000</v>
      </c>
      <c r="F37" s="11">
        <v>8862361000</v>
      </c>
      <c r="G37" s="11">
        <v>12396783000</v>
      </c>
      <c r="H37" s="11">
        <f>Trimestral!E38</f>
        <v>11601925000</v>
      </c>
      <c r="I37" s="33">
        <f>Trimestral!I38</f>
        <v>12572624000</v>
      </c>
      <c r="J37" s="33">
        <f>Trimestral!$M$38</f>
        <v>16448370000</v>
      </c>
      <c r="K37" s="33">
        <f>Trimestral!$Q$38</f>
        <v>20778032000</v>
      </c>
      <c r="L37" s="33">
        <f>+Trimestral!U38</f>
        <v>33378717000</v>
      </c>
    </row>
    <row r="38" spans="2:12">
      <c r="C38" s="7"/>
      <c r="D38" s="7"/>
      <c r="E38" s="7"/>
      <c r="F38" s="7"/>
      <c r="G38" s="7"/>
      <c r="H38" s="14"/>
    </row>
    <row r="42" spans="2:12">
      <c r="C42" s="24"/>
      <c r="D42" s="24"/>
      <c r="E42" s="24"/>
      <c r="F42" s="24"/>
      <c r="G42" s="24"/>
      <c r="H42" s="24"/>
      <c r="I42" s="24"/>
      <c r="J42" s="24"/>
      <c r="K42" s="24"/>
      <c r="L42" s="24"/>
    </row>
    <row r="44" spans="2:12">
      <c r="B44" s="3" t="s">
        <v>51</v>
      </c>
      <c r="C44" s="13">
        <v>303092224</v>
      </c>
      <c r="D44" s="13">
        <v>482504690</v>
      </c>
      <c r="E44" s="13">
        <v>637859143</v>
      </c>
      <c r="F44" s="13">
        <v>636043197</v>
      </c>
      <c r="G44" s="13">
        <v>964158288</v>
      </c>
      <c r="H44" s="13">
        <v>969939906</v>
      </c>
      <c r="I44" s="13">
        <f>Trimestral!I45</f>
        <v>969974606</v>
      </c>
      <c r="J44" s="13">
        <f>Trimestral!M45</f>
        <v>1255047994</v>
      </c>
      <c r="K44" s="14">
        <f>Trimestral!Q45</f>
        <v>1811425646</v>
      </c>
      <c r="L44" s="14">
        <f>+Trimestral!U45</f>
        <v>2421068027</v>
      </c>
    </row>
    <row r="45" spans="2:12">
      <c r="B45" s="3" t="s">
        <v>52</v>
      </c>
      <c r="C45">
        <v>12.2</v>
      </c>
      <c r="D45">
        <v>12.9</v>
      </c>
      <c r="E45">
        <v>11.85</v>
      </c>
      <c r="F45">
        <v>12.6</v>
      </c>
      <c r="G45">
        <v>11.93</v>
      </c>
      <c r="H45">
        <v>12.05</v>
      </c>
      <c r="I45">
        <v>11.57</v>
      </c>
      <c r="J45">
        <v>12.27</v>
      </c>
      <c r="K45">
        <v>12.38</v>
      </c>
      <c r="L45">
        <v>12.27</v>
      </c>
    </row>
    <row r="46" spans="2:12">
      <c r="B46" s="3" t="s">
        <v>53</v>
      </c>
      <c r="C46">
        <v>17.3398</v>
      </c>
      <c r="D46">
        <v>20.664000000000001</v>
      </c>
      <c r="E46">
        <v>19.735399999999998</v>
      </c>
      <c r="F46">
        <v>19.656600000000001</v>
      </c>
      <c r="G46">
        <v>18.872699999999998</v>
      </c>
      <c r="H46">
        <v>19.935199999999998</v>
      </c>
      <c r="I46">
        <v>20.515699999999999</v>
      </c>
      <c r="J46" s="36">
        <f>Trimestral!M47</f>
        <v>19.361499999999999</v>
      </c>
      <c r="K46" s="37">
        <f>Trimestral!Q47</f>
        <v>16.8935</v>
      </c>
      <c r="L46">
        <v>20.510300000000001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4B1F4790DEE6F45ABEFE975A44A4A1E" ma:contentTypeVersion="18" ma:contentTypeDescription="Crear nuevo documento." ma:contentTypeScope="" ma:versionID="c8cb0023f36a5764e2159352a47bcb3c">
  <xsd:schema xmlns:xsd="http://www.w3.org/2001/XMLSchema" xmlns:xs="http://www.w3.org/2001/XMLSchema" xmlns:p="http://schemas.microsoft.com/office/2006/metadata/properties" xmlns:ns2="ff94dd83-6192-49ce-b884-85be3ee1956a" xmlns:ns3="2f42a25e-5058-454f-a824-4211e5d0f08a" targetNamespace="http://schemas.microsoft.com/office/2006/metadata/properties" ma:root="true" ma:fieldsID="3300484e7b80632919d97cd80b4255e0" ns2:_="" ns3:_="">
    <xsd:import namespace="ff94dd83-6192-49ce-b884-85be3ee1956a"/>
    <xsd:import namespace="2f42a25e-5058-454f-a824-4211e5d0f0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94dd83-6192-49ce-b884-85be3ee195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34d74197-a05b-4abf-b1c8-49b1a4f37d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f42a25e-5058-454f-a824-4211e5d0f08a"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c5c81ed-4a3a-4b32-83fe-86603f97bd1d}" ma:internalName="TaxCatchAll" ma:showField="CatchAllData" ma:web="2f42a25e-5058-454f-a824-4211e5d0f0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f42a25e-5058-454f-a824-4211e5d0f08a" xsi:nil="true"/>
    <lcf76f155ced4ddcb4097134ff3c332f xmlns="ff94dd83-6192-49ce-b884-85be3ee1956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860215-48F6-46E9-A772-4778B1FD4F81}">
  <ds:schemaRefs>
    <ds:schemaRef ds:uri="http://schemas.microsoft.com/sharepoint/v3/contenttype/forms"/>
  </ds:schemaRefs>
</ds:datastoreItem>
</file>

<file path=customXml/itemProps2.xml><?xml version="1.0" encoding="utf-8"?>
<ds:datastoreItem xmlns:ds="http://schemas.openxmlformats.org/officeDocument/2006/customXml" ds:itemID="{C958442C-7833-4833-8DD8-9673C8CCB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94dd83-6192-49ce-b884-85be3ee1956a"/>
    <ds:schemaRef ds:uri="2f42a25e-5058-454f-a824-4211e5d0f0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0BCCED-F58F-4326-95FA-D9F0A4FFFA30}">
  <ds:schemaRefs>
    <ds:schemaRef ds:uri="http://schemas.microsoft.com/office/2006/metadata/properties"/>
    <ds:schemaRef ds:uri="http://schemas.microsoft.com/office/infopath/2007/PartnerControls"/>
    <ds:schemaRef ds:uri="2f42a25e-5058-454f-a824-4211e5d0f08a"/>
    <ds:schemaRef ds:uri="ff94dd83-6192-49ce-b884-85be3ee195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Trimestral</vt:lpstr>
      <vt:lpstr>Anual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apastelin@fibramty.com</dc:creator>
  <cp:keywords/>
  <dc:description/>
  <cp:lastModifiedBy>Rebeca De la Garza Garza</cp:lastModifiedBy>
  <cp:revision/>
  <dcterms:created xsi:type="dcterms:W3CDTF">2018-11-21T19:31:17Z</dcterms:created>
  <dcterms:modified xsi:type="dcterms:W3CDTF">2025-07-24T18:28:54Z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0x01010034B1F4790DEE6F45ABEFE975A44A4A1E</vt:lpwstr>
  </property>
  <property fmtid="{D5CDD505-2E9C-101B-9397-08002B2CF9AE}" pid="3" name="{A44787D4-0540-4523-9961-78E4036D8C6D}">
    <vt:lpwstr>{1E786951-25CD-4843-B818-ECD69F731EF3}</vt:lpwstr>
  </property>
  <property fmtid="{D5CDD505-2E9C-101B-9397-08002B2CF9AE}" pid="4" name="MediaServiceImageTags">
    <vt:lpwstr/>
  </property>
</Properties>
</file>